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9B6B2B92-BF93-5F4F-90D1-56DDAD8F8766}"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T2" i="1" l="1"/>
  <c r="BT3" i="1"/>
  <c r="BT4" i="1"/>
  <c r="BT5" i="1"/>
  <c r="BT6" i="1"/>
  <c r="BT7" i="1"/>
  <c r="BF8" i="1"/>
  <c r="BT8" i="1"/>
  <c r="BF9" i="1"/>
  <c r="BT9" i="1"/>
  <c r="BF10" i="1"/>
  <c r="BT10" i="1"/>
  <c r="BT11" i="1"/>
  <c r="BF12" i="1"/>
  <c r="BT12"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T79" i="1"/>
  <c r="BF80" i="1"/>
  <c r="BT80" i="1"/>
  <c r="BT81" i="1"/>
  <c r="BT82" i="1"/>
  <c r="BT83" i="1"/>
  <c r="BT84" i="1"/>
  <c r="BT85" i="1"/>
  <c r="BT86"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T113" i="1"/>
  <c r="BF114" i="1"/>
  <c r="BT114" i="1"/>
  <c r="BF115" i="1"/>
  <c r="BT115" i="1"/>
  <c r="BF116" i="1"/>
  <c r="BT116" i="1"/>
  <c r="BF117" i="1"/>
  <c r="BT117" i="1"/>
  <c r="BF118" i="1"/>
  <c r="BT118" i="1"/>
  <c r="BF119" i="1"/>
  <c r="BT119" i="1"/>
  <c r="BF120" i="1"/>
  <c r="BT120" i="1"/>
  <c r="BF121" i="1"/>
  <c r="BT121" i="1"/>
  <c r="BF122" i="1"/>
  <c r="BT122" i="1"/>
  <c r="BT123" i="1"/>
  <c r="BF124" i="1"/>
  <c r="BT124" i="1"/>
  <c r="BF125" i="1"/>
  <c r="BT125" i="1"/>
  <c r="BT126" i="1"/>
  <c r="BF127" i="1"/>
  <c r="BT127" i="1"/>
  <c r="BF128" i="1"/>
  <c r="BT128" i="1"/>
  <c r="BF129" i="1"/>
  <c r="BT129" i="1"/>
  <c r="BF130" i="1"/>
  <c r="BT130"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T159" i="1"/>
  <c r="BF160" i="1"/>
  <c r="BT160" i="1"/>
  <c r="BF161" i="1"/>
  <c r="BT161"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T212" i="1"/>
  <c r="BF213" i="1"/>
  <c r="BT213" i="1"/>
  <c r="BF214" i="1"/>
  <c r="BT214" i="1"/>
  <c r="BT215" i="1"/>
  <c r="BT216" i="1"/>
  <c r="BF217" i="1"/>
  <c r="BT217" i="1"/>
  <c r="BF218" i="1"/>
  <c r="BT218" i="1"/>
  <c r="BF219" i="1"/>
  <c r="BT219" i="1"/>
  <c r="BF220" i="1"/>
  <c r="BT220" i="1"/>
  <c r="BF221" i="1"/>
  <c r="BT221" i="1"/>
  <c r="BF222" i="1"/>
  <c r="BT222" i="1"/>
  <c r="BT223" i="1"/>
  <c r="BF224" i="1"/>
  <c r="BT224" i="1"/>
  <c r="BF225" i="1"/>
  <c r="BT225" i="1"/>
  <c r="BF226" i="1"/>
  <c r="BT226" i="1"/>
  <c r="BF227" i="1"/>
  <c r="BT227" i="1"/>
  <c r="BF228" i="1"/>
  <c r="BT228" i="1"/>
  <c r="BT229" i="1"/>
  <c r="BF230" i="1"/>
  <c r="BT230" i="1"/>
  <c r="BT231" i="1"/>
  <c r="BF232" i="1"/>
  <c r="BT232" i="1"/>
  <c r="BF233" i="1"/>
  <c r="BT233" i="1"/>
  <c r="BF234" i="1"/>
  <c r="BT234" i="1"/>
  <c r="BF235" i="1"/>
  <c r="BT235" i="1"/>
  <c r="BT236" i="1"/>
  <c r="BT237" i="1"/>
  <c r="BF238" i="1"/>
  <c r="BT238" i="1"/>
  <c r="BF239" i="1"/>
  <c r="BT239" i="1"/>
  <c r="BF240" i="1"/>
  <c r="BT240" i="1"/>
  <c r="BF241" i="1"/>
  <c r="BT241" i="1"/>
  <c r="BF242" i="1"/>
  <c r="BT242" i="1"/>
  <c r="BF243" i="1"/>
  <c r="BT243" i="1"/>
  <c r="BF244" i="1"/>
  <c r="BT244" i="1"/>
  <c r="BF245" i="1"/>
  <c r="BT245" i="1"/>
  <c r="BF246" i="1"/>
  <c r="BT246"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T296" i="1"/>
  <c r="BF297" i="1"/>
  <c r="BT297" i="1"/>
  <c r="BF298" i="1"/>
  <c r="BT298"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T320"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T349" i="1"/>
  <c r="BF350" i="1"/>
  <c r="BT350" i="1"/>
  <c r="BF351" i="1"/>
  <c r="BT351" i="1"/>
  <c r="BF352" i="1"/>
  <c r="BT352" i="1"/>
  <c r="BF353" i="1"/>
  <c r="BT353" i="1"/>
  <c r="BF354" i="1"/>
  <c r="BT354"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T381" i="1"/>
  <c r="BF382" i="1"/>
  <c r="BT382" i="1"/>
  <c r="BF383" i="1"/>
  <c r="BT383" i="1"/>
  <c r="BF384" i="1"/>
  <c r="BT384" i="1"/>
  <c r="BF385" i="1"/>
  <c r="BT385" i="1"/>
  <c r="BF386" i="1"/>
  <c r="BT386" i="1"/>
  <c r="BF387" i="1"/>
  <c r="BT387" i="1"/>
  <c r="BF388" i="1"/>
  <c r="BT388" i="1"/>
  <c r="BT389" i="1"/>
  <c r="BT390" i="1"/>
  <c r="BF391" i="1"/>
  <c r="BT391" i="1"/>
  <c r="BT392" i="1"/>
  <c r="BF393" i="1"/>
  <c r="BT393" i="1"/>
  <c r="BF394" i="1"/>
  <c r="BT394" i="1"/>
  <c r="BF395" i="1"/>
  <c r="BT395" i="1"/>
  <c r="BF396" i="1"/>
  <c r="BT396" i="1"/>
  <c r="BF397" i="1"/>
  <c r="BT397" i="1"/>
  <c r="BF398" i="1"/>
  <c r="BT398" i="1"/>
  <c r="BT399" i="1"/>
  <c r="BF400" i="1"/>
  <c r="BT400" i="1"/>
  <c r="BF401" i="1"/>
  <c r="BT401" i="1"/>
  <c r="BF402" i="1"/>
  <c r="BT402" i="1"/>
  <c r="BF403" i="1"/>
  <c r="BT403" i="1"/>
  <c r="BF404" i="1"/>
  <c r="BT404" i="1"/>
  <c r="BF405" i="1"/>
  <c r="BT405"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T425" i="1"/>
  <c r="BF426" i="1"/>
  <c r="BT426" i="1"/>
  <c r="BF427" i="1"/>
  <c r="BT427" i="1"/>
  <c r="BF428" i="1"/>
  <c r="BT428" i="1"/>
  <c r="BF429" i="1"/>
  <c r="BT429" i="1"/>
  <c r="BF430" i="1"/>
  <c r="BT430" i="1"/>
  <c r="BF431" i="1"/>
  <c r="BT431" i="1"/>
  <c r="BF432" i="1"/>
  <c r="BT432" i="1"/>
  <c r="BF433" i="1"/>
  <c r="BT433"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T453" i="1"/>
  <c r="BF454" i="1"/>
  <c r="BT454" i="1"/>
  <c r="BF455" i="1"/>
  <c r="BT455" i="1"/>
  <c r="BF456" i="1"/>
  <c r="BT456" i="1"/>
  <c r="BF457" i="1"/>
  <c r="BT457" i="1"/>
  <c r="BF458" i="1"/>
  <c r="BT458" i="1"/>
  <c r="BF459" i="1"/>
  <c r="BT459" i="1"/>
  <c r="BF460" i="1"/>
  <c r="BT460" i="1"/>
  <c r="BT461" i="1"/>
  <c r="BF462" i="1"/>
  <c r="BT462" i="1"/>
  <c r="BF463" i="1"/>
  <c r="BT463" i="1"/>
  <c r="BF464" i="1"/>
  <c r="BT464" i="1"/>
  <c r="BF465" i="1"/>
  <c r="BT465"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T505" i="1"/>
  <c r="BF506" i="1"/>
  <c r="BT506" i="1"/>
  <c r="BF507" i="1"/>
  <c r="BT507" i="1"/>
  <c r="BF508" i="1"/>
  <c r="BT508" i="1"/>
  <c r="BF509" i="1"/>
  <c r="BT509" i="1"/>
  <c r="BF510" i="1"/>
  <c r="BT510" i="1"/>
  <c r="BF511" i="1"/>
  <c r="BT511" i="1"/>
  <c r="BF512" i="1"/>
  <c r="BT512" i="1"/>
  <c r="BF513" i="1"/>
  <c r="BT513"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T542" i="1"/>
  <c r="BT543"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T571" i="1"/>
  <c r="BF572" i="1"/>
  <c r="BT572" i="1"/>
  <c r="BF573" i="1"/>
  <c r="BT573" i="1"/>
  <c r="BF574" i="1"/>
  <c r="BT574" i="1"/>
  <c r="BF575" i="1"/>
  <c r="BT575" i="1"/>
  <c r="BF576" i="1"/>
  <c r="BT576" i="1"/>
  <c r="BT577" i="1"/>
  <c r="BT578" i="1"/>
  <c r="BT579" i="1"/>
  <c r="BT580" i="1"/>
  <c r="BT581" i="1"/>
  <c r="BT582" i="1"/>
  <c r="BT583" i="1"/>
  <c r="BT584" i="1"/>
  <c r="BF585" i="1"/>
  <c r="BT585" i="1"/>
  <c r="BT586" i="1"/>
  <c r="BF587" i="1"/>
  <c r="BT587" i="1"/>
  <c r="BF588" i="1"/>
  <c r="BT588" i="1"/>
  <c r="BF589" i="1"/>
  <c r="BT589" i="1"/>
  <c r="BT590" i="1"/>
  <c r="BF591" i="1"/>
  <c r="BT591"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T650" i="1"/>
  <c r="BF651" i="1"/>
  <c r="BT651" i="1"/>
  <c r="BT652" i="1"/>
  <c r="BF653" i="1"/>
  <c r="BT653" i="1"/>
  <c r="BF654" i="1"/>
  <c r="BT654" i="1"/>
  <c r="BF655" i="1"/>
  <c r="BT655" i="1"/>
  <c r="BF656" i="1"/>
  <c r="BT656"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T713"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T757" i="1"/>
  <c r="BF758" i="1"/>
  <c r="BT758" i="1"/>
  <c r="BF759" i="1"/>
  <c r="BT759" i="1"/>
  <c r="BT760" i="1"/>
  <c r="BT761" i="1"/>
  <c r="BT762" i="1"/>
  <c r="BT763" i="1"/>
  <c r="BT764" i="1"/>
  <c r="BT765"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T799"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T847" i="1"/>
  <c r="BF848" i="1"/>
  <c r="BT848" i="1"/>
  <c r="BF849" i="1"/>
  <c r="BT849" i="1"/>
  <c r="BF850" i="1"/>
  <c r="BT850" i="1"/>
  <c r="BF851" i="1"/>
  <c r="BT851" i="1"/>
  <c r="BF852" i="1"/>
  <c r="BT852" i="1"/>
  <c r="BT853" i="1"/>
  <c r="BF854" i="1"/>
  <c r="BT854" i="1"/>
  <c r="BF855" i="1"/>
  <c r="BT855" i="1"/>
  <c r="BF856" i="1"/>
  <c r="BT856" i="1"/>
  <c r="BF857" i="1"/>
  <c r="BT857" i="1"/>
  <c r="BF858" i="1"/>
  <c r="BT858" i="1"/>
  <c r="BF859" i="1"/>
  <c r="BT859" i="1"/>
  <c r="BF860" i="1"/>
  <c r="BT860" i="1"/>
  <c r="BF861" i="1"/>
  <c r="BT861" i="1"/>
  <c r="BF862" i="1"/>
  <c r="BT862" i="1"/>
  <c r="BT863"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<sst xmlns="http://schemas.openxmlformats.org/spreadsheetml/2006/main" count="59561" uniqueCount="14162">
  <si>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</si>
  <si>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</si>
  <si>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</si>
  <si>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</si>
  <si>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</si>
  <si>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</si>
  <si>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</si>
  <si>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</si>
  <si>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</si>
  <si>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</si>
  <si>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</si>
  <si>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</si>
  <si>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</si>
  <si>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</si>
  <si>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</si>
  <si>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</si>
  <si>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</si>
  <si>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</si>
  <si>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</si>
  <si>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</si>
  <si>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</si>
  <si>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</si>
  <si>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</si>
  <si>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</si>
  <si>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</si>
  <si>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</si>
  <si>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</si>
  <si>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</si>
  <si>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</si>
  <si>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</si>
  <si>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</si>
  <si>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</si>
  <si>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</si>
  <si>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</si>
  <si>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</si>
  <si>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</si>
  <si>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</si>
  <si>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</si>
  <si>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</si>
  <si>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</si>
  <si>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</si>
  <si>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</si>
  <si>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</si>
  <si>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</si>
  <si>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</si>
  <si>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</si>
  <si>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</si>
  <si>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</si>
  <si>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</si>
  <si>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</si>
  <si>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</si>
  <si>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</si>
  <si>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</si>
  <si>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</si>
  <si>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</si>
  <si>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</si>
  <si>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</si>
  <si>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</si>
  <si>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</si>
  <si>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</si>
  <si>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</si>
  <si>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</si>
  <si>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</si>
  <si>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</si>
  <si>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</si>
  <si>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</si>
  <si>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</si>
  <si>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</si>
  <si>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</si>
  <si>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</si>
  <si>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</si>
  <si>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</si>
  <si>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C</t>
  </si>
  <si>
    <t>Shibata, H</t>
  </si>
  <si>
    <t/>
  </si>
  <si>
    <t>Markham, JW; Duda, AL</t>
  </si>
  <si>
    <t>Polar information: The work of the Scott Polar Research Institute Library in Cambridge</t>
  </si>
  <si>
    <t>Voyages of Discovery: Parting the Seas of Information Technology</t>
  </si>
  <si>
    <t>INTERNATIONAL ASSOCIATION OF AQUATIC AND MARINE SCIENCE, LIBRARIES AND INFORMATION CONFERENCE SERIES</t>
  </si>
  <si>
    <t>English</t>
  </si>
  <si>
    <t>Proceedings Paper</t>
  </si>
  <si>
    <t>30th Annual Conference of the International-Association-of-Aquatic-and-Marine-Science-Libraries-and-Information-Centers</t>
  </si>
  <si>
    <t>SEP 05-09, 2004</t>
  </si>
  <si>
    <t>CSIRO Marine Res, Hobart, AUSTRALIA</t>
  </si>
  <si>
    <t>CSIRO Marine Res</t>
  </si>
  <si>
    <t>Antarctica; Southern Ocean; sub-antarctic; bibliographies; libraries - Scott Polar Research Institute</t>
  </si>
  <si>
    <t>This is an account of the work of the Scott Polar Library. It is introduced by some thoughts about information, and describes the various databases available to researchers with interests in the Antarctic and sub-Antarctic regions and the Southern Ocean, with comments on the process of bibliography.</t>
  </si>
  <si>
    <t>Univ Cambridge, Scott Polar Res Inst, Cambridge CB2 1ER, England</t>
  </si>
  <si>
    <t>University of Cambridge</t>
  </si>
  <si>
    <t>INT ASSOC MARINE SCIENCE LIBRARIES &amp; INFORMATION CENTER</t>
  </si>
  <si>
    <t>FORT PIERCE</t>
  </si>
  <si>
    <t>C/O HBOI LIBRARY, 5600 OLD DIXIE HWY, FORT PIERCE, FL 34946 USA</t>
  </si>
  <si>
    <t>8755-6332</t>
  </si>
  <si>
    <t>IAMSLIC C S</t>
  </si>
  <si>
    <t>Computer Science, Interdisciplinary Applications; Geosciences, Multidisciplinary; Information Science &amp; Library Science</t>
  </si>
  <si>
    <t>Conference Proceedings Citation Index - Science (CPCI-S); Conference Proceedings Citation Index - Social Science &amp; Humanities (CPCI-SSH)</t>
  </si>
  <si>
    <t>Computer Science; Geology; Information Science &amp; Library Science</t>
  </si>
  <si>
    <t>BBZ60</t>
  </si>
  <si>
    <t>2024-04-21</t>
  </si>
  <si>
    <t>WOS:000228360100022</t>
  </si>
  <si>
    <t>Belbin, L; Connell, D; Watts, D</t>
  </si>
  <si>
    <t>Data management to information portals</t>
  </si>
  <si>
    <t>Australian Antarctic Div, Australian Antarctic Data Ctr, Kingston, Tas 7050, Australia</t>
  </si>
  <si>
    <t>Australian Antarctic Division</t>
  </si>
  <si>
    <t>WOS:000228360100023</t>
  </si>
  <si>
    <t>Raymond, B</t>
  </si>
  <si>
    <t>Data mining:: Making the most of polar and oceanographic information in the 21ST Century</t>
  </si>
  <si>
    <t>Scientific data are routinely archived by many polar and oceanographic organisations. Data mining - the discovery of new information from existing data - is an increasingly popular means for data centres to add value to their holdings.</t>
  </si>
  <si>
    <t>Australian Antarctic Div, Dept Environm &amp; Heritage, Kingston, Tas 7050, Australia</t>
  </si>
  <si>
    <t>WOS:000228360100024</t>
  </si>
  <si>
    <t>Smithies, A</t>
  </si>
  <si>
    <t>Oldies but goodies: New ways of making valuable older information accessible</t>
  </si>
  <si>
    <t>From its establishment in 1950 the Australian Antarctic Division Library has built up a significant collection of internal reports and records, most of which are unpublished. This includes valuable primary source material such as station reports, voyage reports and ship log books, all of which need to be made more accessible. The Library has recently enlisted the help of modem technology to achieve the desired result.</t>
  </si>
  <si>
    <t>Australian Antarctic Div, Kingston, Tas 7050, Australia</t>
  </si>
  <si>
    <t>WOS:000228360100025</t>
  </si>
  <si>
    <t>Shibata, H; Boneham, N; Gunn, C</t>
  </si>
  <si>
    <t>The Scott Polar Research Institute archives: Spreading the word</t>
  </si>
  <si>
    <t>archives; online resources; polar exploration; Arctic; Antarctic; biographies; Sir Ernest Shackleton; Robert Falcon Scott; Sir John Franklin</t>
  </si>
  <si>
    <t>WOS:000228360100026</t>
  </si>
  <si>
    <t>Brolsma, H</t>
  </si>
  <si>
    <t>Geographic data - Supporting Australia's Antarctic program</t>
  </si>
  <si>
    <t>WOS:000228360100028</t>
  </si>
  <si>
    <t>J</t>
  </si>
  <si>
    <t>Southwell, C</t>
  </si>
  <si>
    <t>Diving behaviour of two Ross seals off east Antarctica</t>
  </si>
  <si>
    <t>WILDLIFE RESEARCH</t>
  </si>
  <si>
    <t>Article</t>
  </si>
  <si>
    <t>CRAB-EATER SEALS; OMMATOPHOCA-ROSSII; PENINSULA</t>
  </si>
  <si>
    <t>The Ross seal (Ommatophoca rossii) is the least frequently sighted and least known of the Antarctic pinnipeds. Current knowledge of foraging and diving behaviour is based on observations of a single seal over &lt; 2 days. The current study provides some additional data on the diving behaviour of two Ross seals off east Antarctica over periods of 31 and 12 days during December - January 1999 - 2000 using satellite-linked dive recorders. Both seals remained over the continental shelf for these times, the female remaining some distance from the coast and the male moving close to the coast approximately half-way through his transmission period. Most dives by the female reached depths &gt; 150 m ( maximum depth 372 m) and the modal duration was 10 - 11 min. The male's dives were slightly shallower ( most &gt; 100 m) and shorter ( mode 6 - 7 min) when distant from the continental coast, and were truncated to a depth of 180 m when close to the coast, presumably by the sea floor. These dive patterns suggest that their prey species, thought to comprise mostly fish and squid, were relatively unavailable at depths &lt; 100 m.</t>
  </si>
  <si>
    <t>Southwell, C (corresponding author), Australian Antarctic Div, Dept Environm &amp; Heritage, Channel Highway, Kingston, Tas 7050, Australia.</t>
  </si>
  <si>
    <t>colin.southwell@aad.gov.au</t>
  </si>
  <si>
    <t>C S I R O PUBLISHING</t>
  </si>
  <si>
    <t>COLLINGWOOD</t>
  </si>
  <si>
    <t>150 OXFORD ST, PO BOX 1139, COLLINGWOOD, VICTORIA 3066, AUSTRALIA</t>
  </si>
  <si>
    <t>1035-3712</t>
  </si>
  <si>
    <t>WILDLIFE RES</t>
  </si>
  <si>
    <t>Wildl. Res.</t>
  </si>
  <si>
    <t>10.1071/WR03090</t>
  </si>
  <si>
    <t>Ecology; Zoology</t>
  </si>
  <si>
    <t>Science Citation Index Expanded (SCI-EXPANDED)</t>
  </si>
  <si>
    <t>Environmental Sciences &amp; Ecology; Zoology</t>
  </si>
  <si>
    <t>900NJ</t>
  </si>
  <si>
    <t>WOS:000227221300008</t>
  </si>
  <si>
    <t>Optimising the timing of visual surveys of crabeater seal abundance: haulout behaviour as a consideration</t>
  </si>
  <si>
    <t>LOBODON-CARCINOPHAGUS; ANTARCTICA</t>
  </si>
  <si>
    <t>The most practical means of estimating pack-ice seal abundance is by conducting visual surveys from ships and aircraft. However, only those seals hauled out on the ice are 'available' to such surveys, and additional information on haulout behaviour is required to adjust counts of seals on the ice to estimate the total population size. Consideration of the optimal time to undertake visual surveys with respect to availability is important to ensure that bias and uncertainty in the abundance estimate are minimised for a fixed survey effort. In order to assess the optimal time for conducting visual surveys of crabeater seals (Lobodon carcinophaga), satellite-linked dive recorders were attached to 24 adult seals in the pack-ice off east Antarctica to record haulout behaviour over a 4-month period from mid-September to mid-January. The optimal time for visual surveys within these four months was December to mid-January ( after the pupping season) when a high, relatively constant proportion of seals were hauled out over a period of 6 - 7 h during daylight, and when variation in haulout behaviour between seals was low. Despite the necessity for breeding seals to haul out continuously for extended periods during the pupping season, this was not a preferred time for visual surveys because variability in haulout behaviour between breeding and non-breeding seals was high. The efficiency of surveys before pupping was limited by the relatively short time during daylight when both the proportion of seals hauled out was high and variability in haulout behaviour among seals was small.</t>
  </si>
  <si>
    <t>10.1071/WR04085</t>
  </si>
  <si>
    <t>942FY</t>
  </si>
  <si>
    <t>WOS:000230269500008</t>
  </si>
  <si>
    <t>Short, J; Turner, B</t>
  </si>
  <si>
    <t>Control of feral cats for nature conservation. IV. Population dynamics and morphological attributes of feral cats at Shark Bay, Western Australia</t>
  </si>
  <si>
    <t>ANTARCTIC MARION-ISLAND; SMALL VERTEBRATE FAUNA; NEW-SOUTH-WALES; FELIS-CATUS; MACQUARIE-ISLAND; SOUTHEASTERN AUSTRALIA; MAINLAND AUSTRALIA; HEIRISSON PRONG; INDIAN-OCEAN; NATIVE FAUNA</t>
  </si>
  <si>
    <t>The dynamics of feral cats ( Felis catus) were assessed at Shark Bay at two adjoining sites subject to differing intensities of predator control. The Heirisson Prong conservation reserve ( 12 km(2)) was fenced to exclude predators and was subject to intensive control actions, while a portion of the adjoining Carrarang pastoral lease (60 km(2)) was subject to a lesser level of control. Foxes ( Vulpes vulpes) were largely absent at both sites owing to effective control. Densities of cats were highly variable over time, showing strong annual fluctuations over 14 years of records Three independent estimates of peak density were made, varying between 1.5 and 2.8 km(-2). Rate of increase was assessed as 0.98 on the pastoral lease and 0.99 on the conservation reserve ( to give an approximate doubling of the population every 8.5 months). A logistic model, with K = 1.5 km(-2) and r of 0.98, gave a maximum sustained yield of 0.37 cats km(-2) year(-1) and a harvest rate of &gt; 0.6 cats km(-2) year(-1) for their elimination in 5 years or less ( for K = 2.8 km(-2), these values increase to 0.69 and &gt; 1.05 km(-2) year(-1) respectively). Harvest outcomes at both sites were consistent with these models. However, the effort required to maintain a given offtake rate increased 6-fold at low cat densities and offtake by trapping as a function of cat density took the form of a Type 3 functional response. The functional response for cat trapping ( the offtake with constant effort per unit time) overlaid against the curve of cat productivity suggested a stable equilibrium point at low cat densities (0.07 - 0.13 cats km(-2)). Hence, trapping effort needed to be greatly intensified at low cat densities and/or augmented by other methods of control to eradicate cats from the closed system of the reserve. The strongly male-biased sex ratio of captures at the barrier fence suggested high levels of reinvasion from beyond the harvested area of the pastoral lease and this made effective control in this open system difficult.</t>
  </si>
  <si>
    <t>CSIRO Sustainable Ecosyst, Wembley, WA 6913, Australia</t>
  </si>
  <si>
    <t>Commonwealth Scientific &amp; Industrial Research Organisation (CSIRO)</t>
  </si>
  <si>
    <t>Short, J (corresponding author), Wildlife Res &amp; Management, POB 1360, Kalamunda, WA 6926, Australia.</t>
  </si>
  <si>
    <t>jeff.short@optusnet.com.au</t>
  </si>
  <si>
    <t>Short, Jeff/IXW-8355-2023</t>
  </si>
  <si>
    <t>Short, Jeff/0000-0002-5392-3517</t>
  </si>
  <si>
    <t>10.1071/WR04102</t>
  </si>
  <si>
    <t>975IG</t>
  </si>
  <si>
    <t>WOS:000232653600002</t>
  </si>
  <si>
    <t>Shepovalnikov, VN; Chasnyk, VG; Verbitskaya, LI; Borisov, EE; Drabo, VN; Onoshko, VA; Lisenkova, EN</t>
  </si>
  <si>
    <t>Shepovalnikov, V. N.; Chasnyk, V. G.; Verbitskaya, L., I; Borisov, E. E.; Drabo, V. N.; Onoshko, V. A.; Lisenkova, E. N.</t>
  </si>
  <si>
    <t>Use of multifunctional mobile medical complexes in conditions of Republic Sakha (Yakutia)</t>
  </si>
  <si>
    <t>YAKUT MEDICAL JOURNAL</t>
  </si>
  <si>
    <t>Russian</t>
  </si>
  <si>
    <t>[Shepovalnikov, V. N.] St Petersburg State Pediat Med Acad, Arctic &amp; Antarctic Res Inst, Ctr Polar Med, St Petersburg, Russia; Minist Hlth Republ Sakha, Yakutsk Hlth Comm, Yakutia, Russia</t>
  </si>
  <si>
    <t>Arctic &amp; Antarctic Research Institute; Saint Petersburg State Pediatric Medical University</t>
  </si>
  <si>
    <t>Shepovalnikov, VN (corresponding author), St Petersburg State Pediat Med Acad, Arctic &amp; Antarctic Res Inst, Ctr Polar Med, St Petersburg, Russia.</t>
  </si>
  <si>
    <t>Chasnyk, Vyacheslav/S-3662-2019</t>
  </si>
  <si>
    <t>Chasnyk, Vyacheslav/0000-0001-5776-1490</t>
  </si>
  <si>
    <t>RUSSIAN ACAD SCIENCES SIBERIAN BRANCH</t>
  </si>
  <si>
    <t>NOVOSIBIRSK</t>
  </si>
  <si>
    <t>S P C U I G G M S B R A S, 3 AKADEMIKA KOPTYGA PROSPEKT, 630090 NOVOSIBIRSK, RUSSIA</t>
  </si>
  <si>
    <t>1813-1905</t>
  </si>
  <si>
    <t>2312-1017</t>
  </si>
  <si>
    <t>YAKUT MED J</t>
  </si>
  <si>
    <t>Yakut Med. J.</t>
  </si>
  <si>
    <t>Medicine, Research &amp; Experimental</t>
  </si>
  <si>
    <t>Emerging Sources Citation Index (ESCI)</t>
  </si>
  <si>
    <t>Research &amp; Experimental Medicine</t>
  </si>
  <si>
    <t>VF8JR</t>
  </si>
  <si>
    <t>WOS:000443715500020</t>
  </si>
  <si>
    <t>Allcock, AL</t>
  </si>
  <si>
    <t>On the confusion surrounding Pareledone charcoti (Joubin, 1905) (Cephalopoda:Octopodidae):: endemic radiation in the Southern Ocean</t>
  </si>
  <si>
    <t>ZOOLOGICAL JOURNAL OF THE LINNEAN SOCIETY</t>
  </si>
  <si>
    <t>Antarctica; identification key; Mollusca; new species; Octopoda; systematics</t>
  </si>
  <si>
    <t>SEA</t>
  </si>
  <si>
    <t>Until recently, all papillated specimens of Pareledone were ascribed to the species Pareledone charcoti (Joubin, 1905): of which R aurorae (Berry, 1917) was considered a junior synonym. Re-examination of the papillated type material of Pareledone, coupled with extensive fishing over several years off the Antarctic Peninsula, has led to a revision of this position. Seven new species of papillated Pareledone are identified from the Antarctic Peninsula region. They, are identified by subtle taxonomic characters, such as the morphology and placement of their papillae: although traditional indices often fail to separate the species. Whilst apparently sympatric, there is some evidence of niche separation of these species with respect to depth. A key is provided for their identification. (C) 2005 The Linnean Society of London.</t>
  </si>
  <si>
    <t>Queens Univ Belfast, Sch Biol &amp; Biochem, Marine Syst Res Grp, Belfast BT9 7BL, Antrim, North Ireland</t>
  </si>
  <si>
    <t>Queens University Belfast</t>
  </si>
  <si>
    <t>Queens Univ Belfast, Sch Biol &amp; Biochem, Marine Syst Res Grp, 97 Lisburn Rd, Belfast BT9 7BL, Antrim, North Ireland.</t>
  </si>
  <si>
    <t>l.alleock@qub.ac.uk</t>
  </si>
  <si>
    <t>Allcock, Louise/A-7359-2012</t>
  </si>
  <si>
    <t>Allcock, Louise/0000-0002-4806-0040</t>
  </si>
  <si>
    <t>OXFORD UNIV PRESS</t>
  </si>
  <si>
    <t>OXFORD</t>
  </si>
  <si>
    <t>GREAT CLARENDON ST, OXFORD OX2 6DP, ENGLAND</t>
  </si>
  <si>
    <t>0024-4082</t>
  </si>
  <si>
    <t>1096-3642</t>
  </si>
  <si>
    <t>ZOOL J LINN SOC-LOND</t>
  </si>
  <si>
    <t>Zool. J. Linn. Soc.</t>
  </si>
  <si>
    <t>JAN</t>
  </si>
  <si>
    <t>10.1111/j.1096-3642.2004.00146.x</t>
  </si>
  <si>
    <t>Zoology</t>
  </si>
  <si>
    <t>893TR</t>
  </si>
  <si>
    <t>Green Published, Bronze</t>
  </si>
  <si>
    <t>WOS:000226742700003</t>
  </si>
  <si>
    <t>Macpherson, E; Jones, W; Segonzac, M</t>
  </si>
  <si>
    <t>A new squat lobster family of Galatheoidea (Crustacea, Decapoda, Anomura) from the hydrothermal vents of the Pacific-Antarctic Ridge</t>
  </si>
  <si>
    <t>ZOOSYSTEMA</t>
  </si>
  <si>
    <t>Crustacea; Decapoda; Anomura; Galatheoidea; Kiwaidae n. fam.; Kiwa n. gen.; hydrothermal vents; Pacific-Antarctic Ridge; new family; new genus; new species</t>
  </si>
  <si>
    <t>A new monotypic family, Kiwaidae n. fam., is proposed for Kiwa hirsuta n. gen., n. sp., new genus and new species collected in hydrothermal vents of the Pacific-Antarctic Ridge, South of Easter Island. The new family belongs to the superfamily Galatheoidea, having similarities with the family Chirostylidae, but with distinctive characters including carapace shape and ornamentation, insertion of fifth pereopod not visible and situated below sternal plastron, sternite between third maxillipeds large and strongly produced anteriorly; eyes strongly reduced, antenna] scale absent and chelipeds and walking legs with dense mat of setae. Molecular data (18S rRNA) gene confirm the clear difference between anomuran families, placing the new taxa closer to the families Chirostylidae, Galatheidae and Porcellanidae than to Aeglidae.</t>
  </si>
  <si>
    <t>CSIC, Ctr Estudios Avanzados Blanes, E-17300 Blanes, Spain; Monterey Bay Aquarium Res Inst, Moss Landing, CA USA; IFREMER, Ctr Brest, DEEP, Lab Environm Profond Centob, F-29280 Plouzane, France</t>
  </si>
  <si>
    <t>Consejo Superior de Investigaciones Cientificas (CSIC); CSIC - Centre d'Estudis Avancats de Blanes (CEAB); Monterey Bay Aquarium Research Institute; Ifremer</t>
  </si>
  <si>
    <t>CSIC, Ctr Estudios Avanzados Blanes, C acc Cala San Francesc 14, E-17300 Blanes, Spain.</t>
  </si>
  <si>
    <t>macpherson@ceab.csic.es; jones@mbari.org; segonzac@ifremer.fr</t>
  </si>
  <si>
    <t>Macpherson, Enrique/J-8982-2012</t>
  </si>
  <si>
    <t>Macpherson, Enrique/0000-0003-4849-4532</t>
  </si>
  <si>
    <t>PUBLICATIONS SCIENTIFIQUES DU MUSEUM, PARIS</t>
  </si>
  <si>
    <t>PARIS CEDEX 05</t>
  </si>
  <si>
    <t>CP 39-57, RUE CUVIER, F-75231 PARIS CEDEX 05, FRANCE</t>
  </si>
  <si>
    <t>1280-9551</t>
  </si>
  <si>
    <t>1638-9387</t>
  </si>
  <si>
    <t>Zoosystema</t>
  </si>
  <si>
    <t>008OO</t>
  </si>
  <si>
    <t>WOS:000235050500003</t>
  </si>
  <si>
    <t>Matthews, AJ; Meredith, MP</t>
  </si>
  <si>
    <t>Variability of Antarctic circumpolar transport and the Southern Annular Mode associated with the Madden-Julian Oscillation</t>
  </si>
  <si>
    <t>GEOPHYSICAL RESEARCH LETTERS</t>
  </si>
  <si>
    <t>DRAKE PASSAGE; TROPICAL CONVECTION; NORTHERN WINTER; HEMISPHERE; CIRCULATION; PREDICTION; ANOMALIES; PACIFIC</t>
  </si>
  <si>
    <t>[ 1] The variability of oceanic Antarctic circumpolar transport and the atmospheric Southern Annular Mode ( SAM) on intraseasonal (30-70-day) timescales is shown to be related to the tropical atmospheric Madden-Julian Oscillation ( MJO) during southern winter. Approximately 7 days after anomalous MJO convection in the equatorial Indian Ocean peaks, an atmospheric extratropical response is set up with anomalous surface westerlies around almost the entire latitude circle at 60degreesS. This pattern projects strongly onto the SAM and leads to an acceleration of the eastward circumpolar transport around Antarctica, as measured by tide gauges and bottom pressure recorders. This ocean response is confirmed by a global ocean model, which shows a maximum in the transport through Drake Passage 3 days after the atmospheric extratropical response.</t>
  </si>
  <si>
    <t>Univ E Anglia, Sch Environm Sci, Norwich NR4 7TJ, Norfolk, England; Univ E Anglia, Sch Math, Norwich NR4 7TJ, Norfolk, England; Proudman Oceanog Lab, Bidston, Merseyside, England</t>
  </si>
  <si>
    <t>University of East Anglia; University of East Anglia; NERC National Oceanography Centre</t>
  </si>
  <si>
    <t>Matthews, AJ (corresponding author), Univ E Anglia, Sch Environm Sci, Norwich NR4 7TJ, Norfolk, England.</t>
  </si>
  <si>
    <t>a.j.matthews@uea.ac.uk</t>
  </si>
  <si>
    <t>Matthews, Adrian/A-6444-2011</t>
  </si>
  <si>
    <t>Matthews, Adrian/0000-0003-0492-1168; Meredith, Michael/0000-0002-7342-7756</t>
  </si>
  <si>
    <t>AMER GEOPHYSICAL UNION</t>
  </si>
  <si>
    <t>WASHINGTON</t>
  </si>
  <si>
    <t>2000 FLORIDA AVE NW, WASHINGTON, DC 20009 USA</t>
  </si>
  <si>
    <t>0094-8276</t>
  </si>
  <si>
    <t>GEOPHYS RES LETT</t>
  </si>
  <si>
    <t>Geophys. Res. Lett.</t>
  </si>
  <si>
    <t>DEC 31</t>
  </si>
  <si>
    <t>L24312</t>
  </si>
  <si>
    <t>10.1029/2004GL021666</t>
  </si>
  <si>
    <t>Geosciences, Multidisciplinary</t>
  </si>
  <si>
    <t>Geology</t>
  </si>
  <si>
    <t>885CB</t>
  </si>
  <si>
    <t>Green Accepted</t>
  </si>
  <si>
    <t>WOS:000226133300007</t>
  </si>
  <si>
    <t>Okino, K; Matsuda, K; Christie, DM; Nogi, Y; Koizumi, K</t>
  </si>
  <si>
    <t>Development of oceanic detachment and asymmetric spreading at the Australian-Antarctic Discordance</t>
  </si>
  <si>
    <t>GEOCHEMISTRY GEOPHYSICS GEOSYSTEMS</t>
  </si>
  <si>
    <t>detachment; gravity anomaly; magnetic anomaly model; megamullion; mid-ocean ridge; morphology; marine geology and geophysics : midocean ridge processes; marine geology and geophysics : seafloor morphology and bottom photography; marine geology and geophysics : geomagnetism</t>
  </si>
  <si>
    <t>MID-ATLANTIC RIDGE; SOUTHEAST INDIAN RIDGE; SEA-FLOOR; GRAVITY-ANOMALIES; CORE COMPLEXES; FRACTURE-ZONE; UPPER-MANTLE; MAGNETIC-ANOMALIES; CRUSTAL ACCRETION; DEPTH ANOMALIES</t>
  </si>
  <si>
    <t>The largest known oceanic detachment terrains occur in Segment B3 of the Australian-Antarctic Discordance (AAD). Using newly collected bathymetry, magnetic, and gravity data, we show that Segment B3 is divided into two contrasting second-order segments. The western subsegment, B3W, is characterized by well-ordered, ridge parallel abyssal hills and low mantle Bouguer gravity anomalies. The eastern subsegment, B3E, displays rough, chaotic morphology and includes several megamullions characterized by high mantle Bouguer gravity anomaly values. The crust is estimated to be thinner by a maximum of 3 km in southern B3E. The combination of chaotic morphology with thinner crust supports the idea that the megamullions are exposed footwalls of oceanic detachments. Megamullion terrains are characterized by higher magnetization than adjacent terrains, most likely as a result of serpentinization of peridotite exposed at the detachment surfaces. Detachment surfaces constitute up to 70% of the total area of both ridge flanks younger than 2 Ma in B3E, indicating that oceanic detachments have played a major role in its development. Spreading in B3E has been extremely asymmetric, with higher apparent rates associated with the large detachment surfaces, where up to 75% of the total extension occurred. Similar asymmetric spreading on oceanic detachments is also recognized in Segment B4, suggesting that this is the dominant mode of extension associated with cold mantle and low magma supply in this deepest part of the AAD, where it is confined to a mere 100-km-long section of the AAD spreading axis.</t>
  </si>
  <si>
    <t>Univ Tokyo, Ocean Res Inst, Nakano Ku, Tokyo 1648639, Japan; Oregon State Univ, Coll Ocean &amp; Atmospher Sci, Corvallis, OR 97331 USA; Natl Inst Polar Res, Itabashi Ku, Tokyo 1738515, Japan</t>
  </si>
  <si>
    <t>University of Tokyo; Oregon State University; Research Organization of Information &amp; Systems (ROIS); National Institute of Polar Research (NIPR) - Japan</t>
  </si>
  <si>
    <t>Univ Tokyo, Ocean Res Inst, Nakano Ku, 1-15-1 Minamidai, Tokyo 1648639, Japan.</t>
  </si>
  <si>
    <t>okino@ori.u-tokyo.ac.jp; kohei.matsuda@met.kishou.go.jp; dchristie@coas.oregonstate.edu; nogi@nipr.ac.jp; koizumi@ori.u-tokyo.ac.jp</t>
  </si>
  <si>
    <t>Okino, Kyoko/AFG-4223-2022</t>
  </si>
  <si>
    <t>Okino, Kyoko/0000-0001-7070-7982; Nogi, Yoshifumi/0000-0001-8457-4244</t>
  </si>
  <si>
    <t>1525-2027</t>
  </si>
  <si>
    <t>GEOCHEM GEOPHY GEOSY</t>
  </si>
  <si>
    <t>Geochem. Geophys. Geosyst.</t>
  </si>
  <si>
    <t>DEC 30</t>
  </si>
  <si>
    <t>Q12012</t>
  </si>
  <si>
    <t>10.1029/2004GC000793</t>
  </si>
  <si>
    <t>Geochemistry &amp; Geophysics</t>
  </si>
  <si>
    <t>885BW</t>
  </si>
  <si>
    <t>Bronze</t>
  </si>
  <si>
    <t>WOS:000226132500003</t>
  </si>
  <si>
    <t>Lübken, FJ; Müllemann, A; Jarvis, MJ</t>
  </si>
  <si>
    <t>Temperatures and horizontal winds in the Antarctic summer mesosphere -: art. no. D24112</t>
  </si>
  <si>
    <t>JOURNAL OF GEOPHYSICAL RESEARCH-ATMOSPHERES</t>
  </si>
  <si>
    <t>Antarctic mesosphere; temperatures; horizontal winds</t>
  </si>
  <si>
    <t>NOCTILUCENT CLOUDS; THERMAL STRUCTURE; GRAVITY-WAVE; MESOPAUSE; PMSE; STRATOSPHERE; ATMOSPHERE; VICINITY; MIDDLE; MODEL</t>
  </si>
  <si>
    <t>A series of 26 meteorological rockets (falling spheres,'' FS) were launched in January and February 1998 from the Antarctic research station Rothera (68degreesS, 68degreesW). These flights gave densities and temperatures below similar to93 km and horizontal winds below similar to75 km, respectively. The lowest altitude is approximately 35 km. The instrumental technique is identical to the one applied in similar studies in the Northern Hemisphere (NH). In this paper, we summarize the experimental results and compare them with climatologies in the NH summer and with empirical models. We concentrate on the mesosphere. In January, temperatures in the upper mesosphere are very low (&lt;135 K) and are very similar to the NH. In February, temperatures increase substantially, certainly more than in the corresponding time period in the NH. The zonal winds show a similar behavior: SH/NH values are very similar in January/July but differ in February/August. This indicates that (at least in 1998) the seasonal transition from summer to winter occurs earlier in the SH compared to the NH. Mass densities are generally similar in both hemispheres. The difference is less than 2-6% and shows a seasonal variation similar to temperatures and zonal winds. Our experimental results at Rothera differ significantly from empirical reference atmospheres such as the COSPAR International Reference Atmosphere (CIRA). For example, in the upper mesosphere our mass densities are up to 35-40% smaller compared to CIRA. Such differences can be important, for example, when modeling the sedimentation of ice particles leading to noctilucent clouds (NLC) and polar mesosphere summer echoes (PMSE). Furthermore, zonal winds in the mesosphere in January/July in the SH/NH are very similar in our measurements but different in CIRA. Recent lidar and radar measurements of NLC at Rothera and PMSE at Davis (68.6 degrees S), respectively, show very similar mean altitudes compared to the NH supporting the similarity of the thermal structures in both hemispheres in January/July.</t>
  </si>
  <si>
    <t>Leibniz Inst Atmospher Phys, D-18225 Kuhlungsborn, Germany; British Antarctic Survey, Cambridge CB3 0ET, England</t>
  </si>
  <si>
    <t>Leibniz Institut fur Atmospharenphysik e.V. an der Universitat Rostock (IAP); UK Research &amp; Innovation (UKRI); Natural Environment Research Council (NERC); NERC British Antarctic Survey</t>
  </si>
  <si>
    <t>luebken@iap-kborn.de</t>
  </si>
  <si>
    <t>2169-897X</t>
  </si>
  <si>
    <t>2169-8996</t>
  </si>
  <si>
    <t>J GEOPHYS RES-ATMOS</t>
  </si>
  <si>
    <t>J. Geophys. Res.-Atmos.</t>
  </si>
  <si>
    <t>D24</t>
  </si>
  <si>
    <t>D24112</t>
  </si>
  <si>
    <t>10.1029/2004JD005133</t>
  </si>
  <si>
    <t>Meteorology &amp; Atmospheric Sciences</t>
  </si>
  <si>
    <t>885CH</t>
  </si>
  <si>
    <t>WOS:000226134000002</t>
  </si>
  <si>
    <t>Rijkenberg, MJA; Gerringa, LJA; Neale, PJ; Timmermans, KR; Buma, AGJ; de Baar, HJW</t>
  </si>
  <si>
    <t>UVA variability overrules UVB ozone depletion effects on the photoreduction of iron in the Southern Ocean</t>
  </si>
  <si>
    <t>ULTRAVIOLET-RADIATION; EQUATORIAL PACIFIC; WATERS; PHOTOSYNTHESIS; PHYTOPLANKTON; INHIBITION; SEAWATER; ICE</t>
  </si>
  <si>
    <t>[ 1] A spectral weighting function describing the wavelength dependency of the photoproduction of Fe( II) in Antarctic seawater was established. The strong wavelength-dependent photoproduction of Fe( II) from amorphous ferric hydroxides can be described as an exponential function: epsilon(lambda) = 3.57 . 10(3) . e (-0.02)((lambda-300)). Solar spectra recorded during the 2000 Antarctic ozone depletion season were used to demonstrate that daily and seasonal variability of the ultraviolet A ( UVA: 315-400 nm) and the visible part of the light spectrum ( VIS: 400-700 nm) dominates Fe( II) production rates in surface waters ( respectively &gt; 60% and about 30%) and in the water column. Although ultraviolet B ( UVB: 280-315 nm) is the most effective wavelength region for Fe( II) photoproduction, the impact of UVB was small due to the relatively low flux of UVB into the ocean surface waters. However, the impact of UVB did indeed increase significantly from 3.54 to 6.15 % during the austral ozone minimum.</t>
  </si>
  <si>
    <t>Univ Groningen, Ctr Ecol &amp; Evolutionary Studies, Dept Marine Biol, NL-9750 AA Haren, Netherlands; Royal Netherlands Inst Sea Res, Dept Marine Chem &amp; Geol, NL-1790 AB Den Burg, Netherlands; Smithsonian Environm Res Ctr, Edgewater, MD 21037 USA</t>
  </si>
  <si>
    <t>University of Groningen; Utrecht University; Royal Netherlands Institute for Sea Research (NIOZ); Smithsonian Institution; Smithsonian Environmental Research Center</t>
  </si>
  <si>
    <t>Rijkenberg, MJA (corresponding author), Univ Groningen, Ctr Ecol &amp; Evolutionary Studies, Dept Marine Biol, POB 14, NL-9750 AA Haren, Netherlands.</t>
  </si>
  <si>
    <t>rijken@nioz.nl</t>
  </si>
  <si>
    <t>Neale, Patrick/A-3683-2012; Rijkenberg, Micha JA/C-3245-2012; Buma, Anita GJ/E-8372-2015</t>
  </si>
  <si>
    <t>timmermans, klaas/0000-0002-3214-4354</t>
  </si>
  <si>
    <t>DEC 29</t>
  </si>
  <si>
    <t>L24310</t>
  </si>
  <si>
    <t>10.1029/2004GL020829</t>
  </si>
  <si>
    <t>885BZ</t>
  </si>
  <si>
    <t>WOS:000226133100002</t>
  </si>
  <si>
    <t>Schefuss, E; Damsté, JSS; Jansen, JHF</t>
  </si>
  <si>
    <t>Forcing of tropical Atlantic sea surface temperatures during the mid-Pleistocene transition -: art. no. PA4029</t>
  </si>
  <si>
    <t>PALEOCEANOGRAPHY</t>
  </si>
  <si>
    <t>sea surface temperatures; mid-Pleistocene transition; tropical Atlantic</t>
  </si>
  <si>
    <t>SUB-ANTARCTIC ZONE; SOUTH-ATLANTIC; CLIMATE TRANSITION; TIME-SERIES; THERMOHALINE CIRCULATION; GLACIAL CYCLES; ANGOLA BASIN; ICE VOLUME; OCEAN; EVOLUTION</t>
  </si>
  <si>
    <t>We compare a new mid-Pleistocene sea surface temperature (SST) record from the eastern tropical Atlantic to changes in continental ice volume, orbital insolation, Atlantic deepwater ventilation, and Southern Ocean front positions to resolve forcing mechanisms of tropical Atlantic SST during the mid-Pleistocene transition (MPT). At the onset of the MPT, a strong tropical cooling occurred. The change from a obliquity- to a eccentricity-dominated cyclicity in the tropical SST took place at about 650 kyr BP. In orbital cycles, tropical SST changes significantly preceded continental ice-volume changes but were in phase with movements of Southern Ocean fronts. After the onset of large-amplitude 100-kyr variations, additional late glacial warming in the eastern tropical Atlantic was caused by enhanced return flow of warm waters from the western Atlantic driven by strong trade winds. Pronounced 80-kyr variations in tropical SST occurred during the MPT, in phase with and likely directly forced by transitional continental ice-volume variations. During the MPT, a prominent anomalous long-term tropical warming occurred, likely generated by extremely northward displaced Southern Ocean fronts. While the overall pattern of global climate variability during the MPT was determined by changes in mean state and frequency of continental ice volume variations, tropical Atlantic SST variations were primarily driven by early changes in Subantarctic sea-ice extent and coupled Southern Ocean frontal positions.</t>
  </si>
  <si>
    <t>Royal Netherlands Inst Sea Res, NL-1790 AB Den Burg, Netherlands</t>
  </si>
  <si>
    <t>Utrecht University; Royal Netherlands Institute for Sea Research (NIOZ)</t>
  </si>
  <si>
    <t>Schefuss, E (corresponding author), Woods Hole Oceanog Inst, Dept Marine Chem &amp; Geochem, Woods Hole, MA 02543 USA.</t>
  </si>
  <si>
    <t>eschefuss@whoi.edu</t>
  </si>
  <si>
    <t>Schefuß, Enno/A-7101-2015; Sinninghe Damste, Jaap/F-6128-2011</t>
  </si>
  <si>
    <t>Schefuß, Enno/0000-0002-5960-930X; Sinninghe Damste, Jaap/0000-0002-8683-1854</t>
  </si>
  <si>
    <t>0883-8305</t>
  </si>
  <si>
    <t>Paleoceanography</t>
  </si>
  <si>
    <t>DEC 28</t>
  </si>
  <si>
    <t>PA4029</t>
  </si>
  <si>
    <t>10.1029/2003PA000892</t>
  </si>
  <si>
    <t>Geosciences, Multidisciplinary; Oceanography; Paleontology</t>
  </si>
  <si>
    <t>Geology; Oceanography; Paleontology</t>
  </si>
  <si>
    <t>885CY</t>
  </si>
  <si>
    <t>Green Published</t>
  </si>
  <si>
    <t>WOS:000226135800001</t>
  </si>
  <si>
    <t>Jevrejeva, S; Moore, JC; Grinsted, A</t>
  </si>
  <si>
    <t>Oceanic and atmospheric transport of multiyear El Nino-Southern Oscillation (ENSO) signatures to the polar regions</t>
  </si>
  <si>
    <t>ANTARCTIC CIRCUMPOLAR WAVE; SEA-SURFACE TEMPERATURES; ARCTIC OSCILLATION; ICE CONDITIONS; NORTH PACIFIC; BALTIC SEA; VARIABILITY; CLIMATE; SIGNALS; SYSTEM</t>
  </si>
  <si>
    <t>Using Monte-Carlo Singular Spectrum Analysis (MC-SSA) and Wavelet Transform (WT) we separate statistically significant components from time series and demonstrate significant co-variance and consistent phase differences between ice conditions and the Arctic Oscillation and Southern Oscillation indices (AO and SOI) at 2.2, 3.5, 5.7 and 13.9 year periods. The 2.2, 3.5 and 5.7 year signals detected in the Arctic are generated about three months earlier in the tropical Pacific Ocean. In contrast, we show that the 13.9 year signal propagates eastward from the western Pacific as equatorial coupled waves (ECW, 0.13-0.15 ms(-1)), and then as fast boundary waves (1-3 ms(-1)) along the western margins of the Americas, with a phase difference of about 1.8-2.1 years by the time they reach the Arctic. Our results provide evidence of dynamical connections between high latitude surface conditions, tropical ocean sea surface temperatures mediated by tropical wave propagation, the wintertime polar vortex and the AO.</t>
  </si>
  <si>
    <t>Proudman Oceanog Lab, Birkenhead CH43 7RA, Merseyside, England; Univ Lapland, Arctic Ctr, FIN-96101 Rovaniemi, Finland; Univ Oulu, Dept Geophys, Oulu, Finland</t>
  </si>
  <si>
    <t>NERC National Oceanography Centre; University of Lapland; University of Oulu</t>
  </si>
  <si>
    <t>Proudman Oceanog Lab, Birkenhead CH43 7RA, Merseyside, England.</t>
  </si>
  <si>
    <t>sveta@pol.ac.uk</t>
  </si>
  <si>
    <t>Moore, John C/B-2868-2013; Grinsted, Aslak/J-9273-2012</t>
  </si>
  <si>
    <t>Moore, John C/0000-0001-8271-5787; Grinsted, Aslak/0000-0003-1634-6009</t>
  </si>
  <si>
    <t>1944-8007</t>
  </si>
  <si>
    <t>DEC 24</t>
  </si>
  <si>
    <t>L24210</t>
  </si>
  <si>
    <t>10.1029/2004GL020871</t>
  </si>
  <si>
    <t>883PM</t>
  </si>
  <si>
    <t>WOS:000226026500001</t>
  </si>
  <si>
    <t>van Lipzig, NPM; King, JC; Lachlan-Cope, TA; van den Broeke, MR</t>
  </si>
  <si>
    <t>Precipitation, sublimation, and snow drift in the Antarctic Peninsula region from a regional atmospheric model</t>
  </si>
  <si>
    <t>precipitation; Antarctic Peninsula; regional atmospheric model</t>
  </si>
  <si>
    <t>SURFACE MASS-BALANCE; GREENLAND ICE-SHEET; CLIMATE MODEL; OROGRAPHIC PRECIPITATION; HORIZONTAL RESOLUTION; TEMPORAL VARIABILITY; REANALYSIS DATA; BLOWING SNOW; SENSITIVITY; TEMPERATURES</t>
  </si>
  <si>
    <t>A regional atmospheric model, with a horizontal grid spacing (Deltax) of 14 km, is used to study the surface mass balance components ( precipitation, sublimation, and snow drift) in the region of the Antarctic Peninsula (AP). An integration is performed for the 7-year period 1987-1993, using a realistic forcing at the lateral model boundaries and at the sea surface. Output from this integration indicates that the precipitation reaches its maximum value on the northwestern slope of the AP, where the upward motion in the atmosphere is largest. Uplift occurs upstream of the barrier, affecting the precipitation distribution over sea. The effect of the barrier on the precipitation distribution over the Bellingshausen Sea might have important implications for the ocean circulation in this region. The mean precipitation over the grounded ice of the AP (1.20 m water eq yr(-1)) is 6 times larger than the mean value over all the grounded ice of Antarctica. Our estimates for the surface sublimation and wind transport of snow over the grounding line toward the sea are 9% and 6 +/- 1% of the precipitation, respectively. In situ data of the wind distribution at three coastal sites located on the northern, eastern, and western sides of the AP are used to evaluate the modeled wind field, which is important for the snow drift calculations. For two of the three sites considered, the prevailing wind direction and bimodal wind distribution are correctly represented by the model. The calculated distribution of accumulation and ablation due to snow drift shows a complex pattern. The wind removes snow from the spine of the AP, where the near-surface flow field diverges, whereas deposition occurs mainly on the eastern slopes, where the near-surface flow field converges. An intercomparison between two 7-year integrations at different horizontal resolution (Deltax = 14 km and Deltax = 55 km) shows that the precipitation on the northwestern slope is very sensitive to the model resolution: In the Deltax = 14 km integration, precipitation on the northwestern slope is higher than in Deltax = 55 km because of higher vertical velocities, resulting in a 35% increase in average precipitation over the grounded ice of the AP.</t>
  </si>
  <si>
    <t>British Antarctic Survey, Cambridge CB3 0ET, England; Univ Utrecht, Inst Marine &amp; Atmospher Res, NL-3509 TA Utrecht, Netherlands</t>
  </si>
  <si>
    <t>UK Research &amp; Innovation (UKRI); Natural Environment Research Council (NERC); NERC British Antarctic Survey; Utrecht University</t>
  </si>
  <si>
    <t>Univ Munich, Inst Meteorol, Theresienstr 37, D-80333 Munich, Germany.</t>
  </si>
  <si>
    <t>nicole@meteo.physik.unimuenchen.de</t>
  </si>
  <si>
    <t>van Lipzig, Nicole/ABF-2964-2021; Van den Broeke, Michiel R./F-7867-2011</t>
  </si>
  <si>
    <t>van Lipzig, Nicole/0000-0003-2899-4046; Van den Broeke, Michiel R./0000-0003-4662-7565</t>
  </si>
  <si>
    <t>DEC 23</t>
  </si>
  <si>
    <t>D24106</t>
  </si>
  <si>
    <t>10.1029/2004JD004701</t>
  </si>
  <si>
    <t>883PQ</t>
  </si>
  <si>
    <t>WOS:000226027000002</t>
  </si>
  <si>
    <t>Gabrielli, P; Barbante, C; Plane, JMC; Varga, A; Hong, S; Cozzi, G; Gaspari, V; Planchon, FAM; Cairns, W; Ferrari, C; Crutzen, P; Cescon, P; Boutron, CF</t>
  </si>
  <si>
    <t>Meteoric smoke fallout over the Holocene epoch revealed by iridium and platinum in Greenland ice</t>
  </si>
  <si>
    <t>NATURE</t>
  </si>
  <si>
    <t>ACCRETION RATE; ANTARCTIC ICE; PARTICLES; DUST; CORE; CLIMATE; POLAR; GISP2; FLUX</t>
  </si>
  <si>
    <t>An iridium anomaly at the Cretaceous/Tertiary boundary layer has been attributed to an extraterrestrial body that struck the Earth some 65 million years ago(1). It has been suggested that, during this event, the carrier of iridium was probably a micrometre-sized silicate-enclosed aggregate(2) or the nanophase material of the vaporized impactor(3). But the fate of platinum-group elements ( such as iridium) that regularly enter the atmosphere via ablating meteoroids remains largely unknown. Here we report a record of iridium and platinum fluxes on a climatic-cycle timescale, back to 128,000 years ago, from a Greenland ice core(4). We find that unexpectedly constant fallout of extraterrestrial matter to Greenland occurred during the Holocene, whereas a greatly enhanced input of terrestrial iridium and platinum masked the cosmic flux in the dust-laden atmosphere of the last glacial age. We suggest that nanometresized meteoric smoke particles(5,6), formed from the recondensation of ablated meteoroids in the atmosphere at altitudes &gt; 70 kilometres, are transported into the winter polar vortices by the mesospheric meridional circulation(7) and are preferentially deposited in the polar ice caps. This implies an average global fallout of 14 +/- 5 kilotons per year of meteoric smoke during the Holocene.</t>
  </si>
  <si>
    <t>Univ Venice, Dept Environm Sci, I-30123 Venice, Italy; Univ Venice, Inst Dynam Environm Proc, CNR, I-30123 Venice, Italy; Univ Grenoble 1, UMR CNRS 5183, Lab Glaciol &amp; Geophys Environm, F-38402 St Martin Dheres, France; Univ E Anglia, Sch Environm Sci, Norwich NR4 7TJ, Norfolk, England; Korea Ocean Res &amp; Dev Inst, Korea Polar Res Inst, Seoul 425600, South Korea; Univ Grenoble 1, Inst Univ France, Ecole Polytech Univ Grenoble, F-38041 Grenoble, France; Max Planck Inst Chem, Atmospher Div, D-55128 Mainz, Germany; Univ Grenoble 1, Inst Univ France, Observ Sci Univers, F-38041 Grenoble, France; Univ Grenoble 1, Unite Format &amp; Rech Phys, F-38041 Grenoble, France</t>
  </si>
  <si>
    <t>Universita Ca Foscari Venezia; Universita Ca Foscari Venezia; Consiglio Nazionale delle Ricerche (CNR); Istituto per la Dinamica dei Processi Ambientali (IDPA-CNR); Communaute Universite Grenoble Alpes; Universite Grenoble Alpes (UGA); University of East Anglia; Korea Institute of Ocean Science &amp; Technology (KIOST); Korea Polar Research Institute (KOPRI); Communaute Universite Grenoble Alpes; Universite Grenoble Alpes (UGA); Institut Universitaire de France; Max Planck Society; Institut Universitaire de France; Communaute Universite Grenoble Alpes; Universite Grenoble Alpes (UGA); Communaute Universite Grenoble Alpes; Universite Grenoble Alpes (UGA)</t>
  </si>
  <si>
    <t>Univ Venice, Dept Environm Sci, I-30123 Venice, Italy.</t>
  </si>
  <si>
    <t>barbante@unive.it</t>
  </si>
  <si>
    <t>Barbante, Carlo/B-3195-2011; Cozzi, Giulio/R-4554-2019; Crutzen, Paul J/F-6044-2012; Cairns, Warren/AAX-5018-2020; Cozzi, Giulio/F-6473-2010; Frederic, Planchon A.M./A-8651-2010; Plane, John/C-7444-2015</t>
  </si>
  <si>
    <t>Cozzi, Giulio/0000-0001-8796-4176; Cairns, Warren/0000-0002-7128-7753; Barbante, Carlo/0000-0003-4177-2288; Cescon, Paolo/0000-0003-1836-6759; Plane, John/0000-0003-3648-6893; Planchon, Frederic/0000-0003-1288-9698</t>
  </si>
  <si>
    <t>NATURE PUBLISHING GROUP</t>
  </si>
  <si>
    <t>LONDON</t>
  </si>
  <si>
    <t>MACMILLAN BUILDING, 4 CRINAN ST, LONDON N1 9XW, ENGLAND</t>
  </si>
  <si>
    <t>0028-0836</t>
  </si>
  <si>
    <t>1476-4687</t>
  </si>
  <si>
    <t>Nature</t>
  </si>
  <si>
    <t>10.1038/nature03137</t>
  </si>
  <si>
    <t>Multidisciplinary Sciences</t>
  </si>
  <si>
    <t>Science &amp; Technology - Other Topics</t>
  </si>
  <si>
    <t>881RL</t>
  </si>
  <si>
    <t>WOS:000225887000037</t>
  </si>
  <si>
    <t>Dengler, M; Schott, FA; Eden, C; Brandt, P; Fischer, J; Zantopp, RJ</t>
  </si>
  <si>
    <t>Break-up of the Atlantic deep western boundary current into eddies at 8° S</t>
  </si>
  <si>
    <t>CURRENT VARIABILITY; CIRCULATION; BRAZIL; TRANSPORT; OCEAN; FLOW; HEAT</t>
  </si>
  <si>
    <t>The existence in the ocean of deep western boundary currents, which connect the high-latitude regions where deep water is formed with upwelling regions as part of the global ocean circulation, was postulated more than 40 years ago(1). These ocean currents have been found adjacent to the continental slopes of all ocean basins, and have core depths between 1,500 and 4,000 m. In the Atlantic Ocean, the deep western boundary current is estimated to carry (10 - 40) x 10(6) m(3) s(-1) of water(2-5), transporting North Atlantic Deep Water - from the overflow regions between Greenland and Scotland and from the Labrador Sea - into the South Atlantic and the Antarctic circumpolar current. Here we present direct velocity and water mass observations obtained in the period 2000 to 2003, as well as results from a numerical ocean circulation model, showing that the Atlantic deep western boundary current breaks up at 8degrees S. Southward of this latitude, the transport of North Atlantic Deep Water into the South Atlantic Ocean is accomplished by migrating eddies, rather than by a continuous flow. Our model simulation indicates that the deep western boundary current breaks up into eddies at the present intensity of meridional overturning circulation. For weaker overturning, continuation as a stable, laminar boundary flow seems possible.</t>
  </si>
  <si>
    <t>Leibniz Inst Meereswissensch, D-24105 Kiel, Germany</t>
  </si>
  <si>
    <t>Helmholtz Association; GEOMAR Helmholtz Center for Ocean Research Kiel</t>
  </si>
  <si>
    <t>Leibniz Inst Meereswissensch, Dusternbrooker Weg 20, D-24105 Kiel, Germany.</t>
  </si>
  <si>
    <t>mdengler@ifm-geomar.de</t>
  </si>
  <si>
    <t>Dengler, Marcus/A-7327-2014; Brandt, Peter/C-8254-2013</t>
  </si>
  <si>
    <t>Dengler, Marcus/0000-0001-5993-9088; Brandt, Peter/0000-0002-9235-955X</t>
  </si>
  <si>
    <t>10.1038/nature03134</t>
  </si>
  <si>
    <t>WOS:000225887000039</t>
  </si>
  <si>
    <t>Zhou, TJ; Yu, RC</t>
  </si>
  <si>
    <t>Sea-surface temperature induced variability of the Southern Annular Mode in an atmospheric general circulation model</t>
  </si>
  <si>
    <t>LOW-FREQUENCY VARIABILITY; ZONAL WIND VACILLATION; INTERANNUAL VARIABILITY; ANTARCTIC OSCILLATION; EXTRATROPICAL CIRCULATION; HEMISPHERE CIRCULATION; CLIMATE-CHANGE; OCEAN; PREDICTABILITY; PRECIPITATION</t>
  </si>
  <si>
    <t>The reproducibility of the Southern Hemisphere Annular Mode (SAM) is examined by using the NCAR CAM2 model forced with historical sea surface temperature covering the time period of 1950-2000. There is some correspondence ( low however significant correlation) between the simulation and observation in the temporal evolution of the SAM, indicating if global SSTs are known and prescribed to the model, there would be some predictability to the SAM. The reproducibility is greater during austral summer than winter, and the source of much of the reproducibility is tropical Pacific SST, with equatorial Pacific warm event corresponds to a negative phase SAM in austral summer. There is a hint that this result is model independent. Working with ensembles improves the reproducibility.</t>
  </si>
  <si>
    <t>Chinese Acad Sci, Inst Atmospher Phys, LASG, State Key Lab Numer Modeling Atmospher Sci &amp; Geop, Beijing 100029, Peoples R China</t>
  </si>
  <si>
    <t>Chinese Academy of Sciences; Institute of Atmospheric Physics, CAS</t>
  </si>
  <si>
    <t>Chinese Acad Sci, Inst Atmospher Phys, LASG, State Key Lab Numer Modeling Atmospher Sci &amp; Geop, Beijing 100029, Peoples R China.</t>
  </si>
  <si>
    <t>zhoutj@lasg.iap.ac.cn; yrc@lasg.iap.ac.cn</t>
  </si>
  <si>
    <t>ZHOU, Tianjun/C-3195-2012</t>
  </si>
  <si>
    <t>ZHOU, Tianjun/0000-0002-5829-7279</t>
  </si>
  <si>
    <t>DEC 22</t>
  </si>
  <si>
    <t>L24206</t>
  </si>
  <si>
    <t>10.1029/2004GL021473</t>
  </si>
  <si>
    <t>883PK</t>
  </si>
  <si>
    <t>WOS:000226026300006</t>
  </si>
  <si>
    <t>Venuti, A; Florindo, F</t>
  </si>
  <si>
    <t>Magnetostratigraphy and environmental magnetism of two Quaternary deep-sea gravity cores from the west Pacific Southern Ocean</t>
  </si>
  <si>
    <t>paleomagnetism; Quaternary; sedimentary cores; Southern Ocean; geomagnetism and paleomagnetism : environmental magnetism; geomagnetism and paleomagnetism : magnetostratigraphy; geomagnetism and paleomagnetism : paleomagnetism applied to geologic processes</t>
  </si>
  <si>
    <t>SEDIMENTS; CLIMATE</t>
  </si>
  <si>
    <t>We present new paleomagnetic data for Quaternary u channel samples from two deep-sea gravity cores from the west Pacific Southern Ocean. These cores were recovered in the Antarctic summers 1995-1996 during the oceanographic cruise of the R/V Italica. One was recovered beneath the present-day Antarctic Polar Front (Anta 95-157), and the other is from within the Antarctic Zone (Anta 96-16). The Matuyama-Brunhes boundary has been identified in both cores, with a longer history of sedimentation available in Anta 96-16. A detailed rock magnetic study shows discrete occurrences of ice rafted debris, which were influenced by 100-kyr orbital eccentricity variations during the Brunhes Chron. This is consistent with the main periodicity of the climate system since the mid-Pleistocene climate transition.</t>
  </si>
  <si>
    <t>Ist Nazl Geofis &amp; Vulcanol, I-00143 Rome, Italy; Univ Siena, I-53100 Siena, Italy</t>
  </si>
  <si>
    <t>Istituto Nazionale Geofisica e Vulcanologia (INGV); University of Siena</t>
  </si>
  <si>
    <t>Ist Nazl Geofis &amp; Vulcanol, Via Vigna Murata 605, I-00143 Rome, Italy.</t>
  </si>
  <si>
    <t>venuti@ingv.it; florindo@ingv.it</t>
  </si>
  <si>
    <t>Florindo, Fabio/M-1459-2019; Florindo, Fabio/F-4119-2010; Florindo, Fabio/AAU-2548-2021</t>
  </si>
  <si>
    <t>Florindo, Fabio/0000-0002-6058-9748; Florindo, Fabio/0000-0002-6058-9748; Venuti, Alessandra/0000-0002-0213-3355</t>
  </si>
  <si>
    <t>DEC 21</t>
  </si>
  <si>
    <t>Q12011</t>
  </si>
  <si>
    <t>10.1029/2004GC000810</t>
  </si>
  <si>
    <t>883PI</t>
  </si>
  <si>
    <t>WOS:000226025900003</t>
  </si>
  <si>
    <t>Huber, M; Brinkhuis, H; Stickley, CE; Döös, K; Sluijs, A; Warnaar, J; Schellenberg, SA; Williams, GL</t>
  </si>
  <si>
    <t>Eocene circulation of the Southern Ocean:: Was Antarctica kept warm by subtropical waters? -: art. no. PA4026</t>
  </si>
  <si>
    <t>ocean heat; transport; Paleogene oceans; Antarctic glaciation</t>
  </si>
  <si>
    <t>ATMOSPHERIC CARBON-DIOXIDE; CLIMATE SYSTEM MODEL; CONTINENTAL-MARGIN; THERMAL-GRADIENTS; ISOTOPE RECORDS; HEAT-TRANSPORT; MIDDLE EOCENE; DRAKE PASSAGE; OLIGOCENE; OXYGEN</t>
  </si>
  <si>
    <t>Near the Eocene's close (similar to34 million years ago), the climate system underwent one of the largest shifts in Earth's history: Antarctic terrestrial ice sheets suddenly grew and ocean productivity patterns changed. Previous studies conjectured that poleward penetration of warm, subtropical currents, the East Australian Current (EAC) in particular, caused Eocene Antarctic warmth. Late Eocene opening of an ocean gateway between Australia and Antarctica was conjectured to have disrupted the EAC, cooled Antarctica, and allowed ice sheets to develop. Here we reconstruct Eocene paleoceanographic circulation in the Tasmanian region, using (1) biogeographical distributions of phytoplankton, including data from recently drilled Ocean Drilling Program Leg 189 sites and (2) fully coupled climate model simulations. We find that the EAC did not penetrate to high latitudes and ocean heat transport in the region was not greater than modern. Our results do not support changes in thermal isolation'' as the primary driver of the Eocene-Oligocene climatic transition.</t>
  </si>
  <si>
    <t>Purdue Univ, W Lafayette, IN 47907 USA; Univ Utrecht, Palaeobot &amp; Palynol Lab, NL-3584 CD Utrecht, Netherlands; Cardiff Univ, Sch Earth Ocean &amp; Planetary Sci, Cardiff CF10 3XQ, S Glam, Wales; Stockholm Univ, Dept Meteorol, SE-10691 Stockholm, Sweden; San Diego State Univ, Dept Geol Sci, San Diego, CA 92182 USA; Geol Survey Canada Atlantic, Dartmouth, NS B2Y 4A2, Canada</t>
  </si>
  <si>
    <t>Purdue University System; Purdue University; Utrecht University; Cardiff University; Stockholm University; California State University System; San Diego State University; Natural Resources Canada; Lands &amp; Minerals Sector - Natural Resources Canada; Geological Survey of Canada</t>
  </si>
  <si>
    <t>Purdue Univ, 1397 Civil Engn Bldg, W Lafayette, IN 47907 USA.</t>
  </si>
  <si>
    <t>huberm@purdue.edu; h.brinkhuis@bio.uu.nl; cathy@earth.cf.ac.uk; doos@misu.su.se; schellenberg@geology.sdsu.edu; gwilliam@agc.bio.ns.ca</t>
  </si>
  <si>
    <t>Huber, Matthew/A-7677-2008; Brinkhuis, Henk/IUO-8165-2023; Brinkhuis, Henk/B-4223-2009; Döös, Kristofer/H-2838-2012; Sluijs, Appy/B-3726-2009</t>
  </si>
  <si>
    <t>Huber, Matthew/0000-0002-2771-9977; Brinkhuis, Henk/0000-0003-0253-6610; Döös, Kristofer/0000-0002-1309-5921; Sluijs, Appy/0000-0003-2382-0215</t>
  </si>
  <si>
    <t>1944-9186</t>
  </si>
  <si>
    <t>DEC 18</t>
  </si>
  <si>
    <t>PA4026</t>
  </si>
  <si>
    <t>10.1029/2004PA001014</t>
  </si>
  <si>
    <t>881QY</t>
  </si>
  <si>
    <t>WOS:000225884500001</t>
  </si>
  <si>
    <t>Stickley, CE; Brinkhuis, H; Schellenberg, SA; Sluijs, A; Röhl, U; Fuller, M; Grauert, M; Huber, M; Warnaar, J; Williams, GL</t>
  </si>
  <si>
    <t>Timing and nature of the deepening of the Tasmanian Gateway -: art. no. PA4027</t>
  </si>
  <si>
    <t>Eocene; Oligocene transition; Tasmanian Gateway; diatoms and dinoflagellate cysts</t>
  </si>
  <si>
    <t>EOCENE-OLIGOCENE; MIDDLE EOCENE; DINOFLAGELLATE CYSTS; SCOTIA SEA; STRATIGRAPHY; BIOSTRATIGRAPHY; EVOLUTION; DIATOMS</t>
  </si>
  <si>
    <t>Tectonic changes that produced a deep Tasmanian Gateway between Australia and Antarctica are widely invoked as the major mechanism for Antarctic cryosphere growth and Antarctic Circumpolar Current (ACC) development during the Eocene/Oligocene (E/O) transition (similar to34-33 Ma). Ocean Drilling Program (ODP) Leg 189 recovered near-continuous marine sedimentary records across the E/O transition interval at four sites around Tasmania. These records are largely barren of calcareous microfossils but contain a rich record of siliceous- and organic-walled marine microfossils. In this study we integrate micropaleontological, sedimentological, geochemical, and paleomagnetic data from Site 1172 (East Tasman Plateau) to identify four distinct phases (A-D) in the E/O Tasmanian Gateway deepening that are correlative among ODP Leg 189 sites. Phase A, prior to similar to35.5 Ma: minor initial deepening characterized by a shallow marine prodeltaic setting with initial condensation episodes. Phase B, similar to35.5-33.5 Ma: increased deepening marked by the onset of major glauconitic deposition and inception of energetic bottom-water currents. Phase C, similar to33.5-30.2 Ma: further deepening to bathyal depths, with episodic erosion by increasingly energetic bottom-water currents. Phase D, &lt;30.2 Ma: establishment of stable, open-ocean, warm-temperate, oligotrophic settings characterized by siliceous- carbonate ooze deposition. Our combined evidence indicates that this early Oligocene Tasmanian Gateway deepening initially produced an eastward flow of relatively warm surface waters from the Australo-Antarctic Gulf into the southwestern Pacific Ocean. This proto-Leeuwin'' current fundamentally differs from previous regional reconstructions of eastward flowing cool water (e.g., a proto-ACC'') during the early Oligocene and thereby represents an important new constraint for reconstructing regional- to global-scale dynamics for this major global change event.</t>
  </si>
  <si>
    <t>Cardiff Univ, Sch Earth Ocean &amp; Planetary Sci, Cardiff CF10 3YE, S Glam, Wales; Univ Utrecht, Palaeobot &amp; Palynol Lab, NL-3584 Utrecht, Netherlands; San Diego State Univ, Dept Geol Sci, San Diego, CA 92182 USA; Univ Bremen, Dept Geosci, RCOM, D-330440 Bremen, Germany; Univ Hawaii Manoa, Sch Ocean &amp; Earth Sci &amp; Technol, Hawaii Inst Geophys &amp; Planetol, Honolulu, HI 96822 USA; Univ Copenhagen, Dept Geog, DK-1350 Copenhagen, Denmark; Purdue Univ, W Lafayette, IN 47907 USA; Geol Survey Canada Atlantic, Bedford Inst Oceanog, Dartmouth, NS B2Y 4A2, Canada</t>
  </si>
  <si>
    <t>Cardiff University; Utrecht University; California State University System; San Diego State University; University of Bremen; University of Hawaii System; University of Hawaii Manoa; University of Copenhagen; Purdue University System; Purdue University; Bedford Institute of Oceanography; Natural Resources Canada; Lands &amp; Minerals Sector - Natural Resources Canada; Geological Survey of Canada</t>
  </si>
  <si>
    <t>Cardiff Univ, Sch Earth Ocean &amp; Planetary Sci, Cardiff CF10 3YE, S Glam, Wales.</t>
  </si>
  <si>
    <t>cathy@earth.cf.ac.uk</t>
  </si>
  <si>
    <t>Brinkhuis, Henk/IUO-8165-2023; Brinkhuis, Henk/B-4223-2009; Huber, Matthew/A-7677-2008; Röhl, Ursula/G-5986-2011; Sluijs, Appy/B-3726-2009</t>
  </si>
  <si>
    <t>Brinkhuis, Henk/0000-0003-0253-6610; Huber, Matthew/0000-0002-2771-9977; Röhl, Ursula/0000-0001-9469-7053; Sluijs, Appy/0000-0003-2382-0215</t>
  </si>
  <si>
    <t>PA4027</t>
  </si>
  <si>
    <t>10.1029/2004PA001022</t>
  </si>
  <si>
    <t>WOS:000225884500002</t>
  </si>
  <si>
    <t>Leonard, K; Bell, RE; Studinger, M; Tremblay, B</t>
  </si>
  <si>
    <t>Anomalous accumulation rates in the Vostok ice-core resulting from ice flow over Lake Vostok</t>
  </si>
  <si>
    <t>ANTARCTIC ICE; EAST ANTARCTICA; WEST ANTARCTICA; RECORD; RADAR; FRAMEWORK; LAYERS</t>
  </si>
  <si>
    <t>Columbia Univ, Lamont Doherty Earth Observ, Palisades, NY 10964 USA</t>
  </si>
  <si>
    <t>Columbia University</t>
  </si>
  <si>
    <t>Leonard, K (corresponding author), Columbia Univ, Lamont Doherty Earth Observ, 61 Route 9W, Palisades, NY 10964 USA.</t>
  </si>
  <si>
    <t>kleonard@ldeo.columbia.edu</t>
  </si>
  <si>
    <t>Tremblay, Bruno/I-4497-2012</t>
  </si>
  <si>
    <t>Studinger, Michael/0000-0003-1265-4741</t>
  </si>
  <si>
    <t>DEC 17</t>
  </si>
  <si>
    <t>L24401</t>
  </si>
  <si>
    <t>10.1029/2004GL021102</t>
  </si>
  <si>
    <t>881QF</t>
  </si>
  <si>
    <t>WOS:000225882100004</t>
  </si>
  <si>
    <t>Bieber, JW; Clem, JM; Duldig, ML; Evenson, PA; Humble, JE; Pyle, R</t>
  </si>
  <si>
    <t>Latitude survey observations of neutron monitor multiplicity</t>
  </si>
  <si>
    <t>JOURNAL OF GEOPHYSICAL RESEARCH-SPACE PHYSICS</t>
  </si>
  <si>
    <t>neutron monitor; geomagnetic field; cosmic rays</t>
  </si>
  <si>
    <t>COSMIC-RAY SURVEY; SOLAR MINIMUM; COUPLING FUNCTIONS; ANTARCTICA; COMPONENT; LEAD</t>
  </si>
  <si>
    <t>We have recently augmented the electronics for our neutron monitor (NM) latitude survey so as to record the elapsed time (deltaT) between detected neutrons in each proportional tube, in order to examine time correlations in the data as a function of cutoff rigidity and primary spectrum. We quantify the dependence of counting rate on dead time, with particular focus on the longer dead times that were once employed in FSU/Russian stations. Our observations show that monitor dead time has little influence on the observed depth of Forbush decreases, indicating that the cosmic ray spectral shape is little changed in the decrease. However, the use of a different dead time significantly alters the response of the monitor as a function of cutoff rigidity. In spite of the general success of our calculation in reproducing the data, unexplained discrepancies are still present.</t>
  </si>
  <si>
    <t>Univ Delaware, Bartol Res Inst, Sharp Lab 217, Newark, DE 19716 USA; Australian Antarctic Div, Kingston, Tas 7050, Australia; Univ Tasmania, Sch Math &amp; Phys, Hobart, Tas 7001, Australia</t>
  </si>
  <si>
    <t>University of Delaware; Australian Antarctic Division; University of Tasmania</t>
  </si>
  <si>
    <t>Univ Delaware, Bartol Res Inst, Sharp Lab 217, Newark, DE 19716 USA.</t>
  </si>
  <si>
    <t>clem@bartol.udel.edu</t>
  </si>
  <si>
    <t>Duldig, Marcus/0000-0001-7463-8267; Humble, John/0000-0002-4698-1671</t>
  </si>
  <si>
    <t>2169-9380</t>
  </si>
  <si>
    <t>2169-9402</t>
  </si>
  <si>
    <t>J GEOPHYS RES-SPACE</t>
  </si>
  <si>
    <t>J. Geophys. Res-Space Phys.</t>
  </si>
  <si>
    <t>A12</t>
  </si>
  <si>
    <t>A12106</t>
  </si>
  <si>
    <t>10.1029/2004JA010493</t>
  </si>
  <si>
    <t>Astronomy &amp; Astrophysics</t>
  </si>
  <si>
    <t>881QU</t>
  </si>
  <si>
    <t>WOS:000225883900001</t>
  </si>
  <si>
    <t>Hodgson, DA; Vyverman, W; Verleyen, E; Sabbe, K; Leavitt, PR; Taton, A; Squier, AH; Keely, BJ</t>
  </si>
  <si>
    <t>Environmental factors influencing the pigment composition of in situ benthic microbial communities in east Antarctic lakes</t>
  </si>
  <si>
    <t>AQUATIC MICROBIAL ECOLOGY</t>
  </si>
  <si>
    <t>microbial communities; pigments; Antarctic lakes; cyanobacteria; palaeolimnology; reference data set</t>
  </si>
  <si>
    <t>FRESH-WATER ECOSYSTEMS; ULTRAVIOLET-RADIATION; CYANOBACTERIAL MATS; FOSSIL PIGMENTS; LARSEMANN HILLS; RAUER ISLANDS; SALINE LAKES; SCYTONEMIN; PHOTOSYNTHESIS; CHLOROPHYLLS</t>
  </si>
  <si>
    <t>To compile reference data for palaeolimnological studies using fossil pigments, we examined the extent to which environmental variables, gross morphology and species composition influence the modern pigment content of in situ microbial communities in 62 east Antarctic lakes. Pigment contents, measured using HPLC, were compared with 32 environmental variables, gross microbial mat morphology and cyanobacterial species composition in each lake. Results showed low concentrations or an absence of pigments in the water columns of most lakes. For benthic microbial communities, multivariate statistical analyses identified lake depth as the most important factor explaining pigment composition. In deeper lakes the pigment composition was dominated by chlorophylls, in intermediate depth lakes by chlorophylls and carotenoids, and in shallow lakes by scytonemins, ultraviolet-screening pigments found in cyanobacteria. In addition to lake depth, conductivity, turbidity, dissolved oxygen, sulphate and geographical location were all significant (p less than or equal to 0.05) in explaining variance in the pigment content. Significant differences in microbial mat gross morphologies occurred at different lake depths (p less than or equal to 0.01), and were characterised by significant differences in their pigment content (p less than or equal to 0.004). Despite the high abundance of scytonemin in shallow lakes, there were only limited changes in the absolute concentrations of chlorophylls and carotenoids. We conclude that lake depth is the most significant factor influencing both gross mat morphology and pigment content, presumably as a result of its influence on the light climate. In general, the ability of the cyanobacteria to regulate their pigment content, morphology, community composition and motility to best exploit the light environment at different lake depths may explain their dominance in these systems.</t>
  </si>
  <si>
    <t>British Antarctic Survey, NERC, Cambridge CB3 0ET, England; Univ Ghent, Dept Biol, Lab Protistol &amp; Aquat Ecol, B-9000 Ghent, Belgium; Univ Regina, Dept Biol, Regina, SK S4S 0A2, Canada; Univ Liege, Inst Chem, Ctr Prot Engn, B-4000 Cointe Ougree, Belgium; Univ York, Dept Chem, York YO10 5DD, N Yorkshire, England</t>
  </si>
  <si>
    <t>UK Research &amp; Innovation (UKRI); Natural Environment Research Council (NERC); NERC British Antarctic Survey; Ghent University; University of Regina; University of Liege; University of York - UK</t>
  </si>
  <si>
    <t>British Antarctic Survey, NERC, High Cross,Madingley Rd, Cambridge CB3 0ET, England.</t>
  </si>
  <si>
    <t>daho@pcmail.nerc-bas.ac.uk</t>
  </si>
  <si>
    <t>Dasseville, Renaat/B-3561-2010; Leavitt, Peter R/A-1048-2013</t>
  </si>
  <si>
    <t>Leavitt, Peter R/0000-0001-9805-9307; Keely, Brendan John/0000-0002-8560-1862</t>
  </si>
  <si>
    <t>INTER-RESEARCH</t>
  </si>
  <si>
    <t>OLDENDORF LUHE</t>
  </si>
  <si>
    <t>NORDBUNTE 23, D-21385 OLDENDORF LUHE, GERMANY</t>
  </si>
  <si>
    <t>0948-3055</t>
  </si>
  <si>
    <t>1616-1564</t>
  </si>
  <si>
    <t>AQUAT MICROB ECOL</t>
  </si>
  <si>
    <t>Aquat. Microb. Ecol.</t>
  </si>
  <si>
    <t>DEC 15</t>
  </si>
  <si>
    <t>10.3354/ame037247</t>
  </si>
  <si>
    <t>Ecology; Marine &amp; Freshwater Biology; Microbiology</t>
  </si>
  <si>
    <t>Environmental Sciences &amp; Ecology; Marine &amp; Freshwater Biology; Microbiology</t>
  </si>
  <si>
    <t>887FZ</t>
  </si>
  <si>
    <t>Green Accepted, Bronze</t>
  </si>
  <si>
    <t>WOS:000226292400004</t>
  </si>
  <si>
    <t>Scher, HD; Martin, EE</t>
  </si>
  <si>
    <t>Circulation in the Southern Ocean during the Paleogene inferred from neodymium isotopes</t>
  </si>
  <si>
    <t>EARTH AND PLANETARY SCIENCE LETTERS</t>
  </si>
  <si>
    <t>fossil fish teeth; neodymium isotope ratios; ocean circulation; Warm Saline Deep Water; Drake Passage</t>
  </si>
  <si>
    <t>NORTHERN VICTORIA LAND; RARE-EARTH-ELEMENTS; FOSSIL FISH TEETH; MIDDLE EOCENE; PB ISOTOPES; MAUD-RISE; CLAY-MINERALS; ENDERBY LAND; SM-ND; FERROMANGANESE CRUSTS</t>
  </si>
  <si>
    <t>Long-term records of neodymium (Nd) isotopes from sedimentary archives can be influenced by both changes, in water mass mixing and continental weathering. Results of Nd isotopic analyses of fossil fish teeth from ODP Site 689 (Maud Rise, Southern Ocean) provide a long, continuous, high-resolution marine sediment Nd isotope record (expressed in epsilon(Nd) units). Correlation of down core secular variations between the epsilon(Nd) record, delta(13)C values from benthic foraminifera, and clay mineral assemblages demonstrates that long-term variability of Nd isotope ratios reflect changes in ocean circulation. and that only minor fluctuations in epsilon(Nd) values are associated with changes in continental weathering on Antarctica. Nonradiogenic epsilon(Nd) values at Site 689 during the middle Eocene require the contribution of an end member with epsilon(Nd)&lt;-9.5. Southern Ocean deep water may have been too radiogenic in the middle Eocene (epsilon(Nd)=-8.5), though this end member may not be fully characterized. A possible source of deep water outside of the Southern Ocean in the middle Eocene is the Tethys Sea (epsilon(Nd)=-9.3 to -9.8). The presence of Warm Saline Deep Water (WSDW) on Maud Rise is consistent with the Nd isotope. results. The onset of more radiogenic epsilon(Nd) values at similar to40.8 Ma coincides with other changes at Site 689 which are consistent with a switch from a warm bottom water mass in the middle Eocene to a colder bottom water mass in the late middle Eocene. A rapid shift to radiogenic epsilon(Nd) values beginning at 37 Ma is best explained by the opening of Drake Passage. The shift coincides with increases in phytoplankton production throughout the Atlantic sector of the Southern Ocean. that document the development of upwelling cells presumably related to more effective latitudinal circulation. After the Eocene/Oligocene boundary when large-scale ice sheets developed on Antarctica, Southern Ocean sourced water masses, such as Antarctic Intermediate Water (AAIW) and Antarctic Bottom Water (AABW), had a greater influence on the hydrography of the study area. An early Oligocene trend to nonradiogenic compositions resulted in similar values to the modern epsilonNd values of these water masses. The modem epsilon(Nd) values of AAIW and AABW reflect a significant contribution of North Atlantic Deep Water (NADW), thus decreasing epsilon(Nd) values in the early Oligocene may have resulted from the export of Northern Component Water (NCW, similar to modem NADW). During the late Oligocene and early Miocene, the long-term trends of the record follow benthie delta(13)C values. Variability in the Nd isotope record most likely reflects fluctuations in ocean circulation arising from changes in the relative contributions of different end member water masses to the Southern Ocean. An interval where epsilon(Nd) values and delta(13)C values are not correlated may reflect the influence of a short-lived weathering event on the epsilon(Nd) record. Early Miocene epsilon(Nd) values resemble those of modem Southern Ocean water masses, indicating a shift toward present-day patterns of ocean circulation. (C) 2004 Elsevier B.V. All rights reserved.</t>
  </si>
  <si>
    <t>Univ Florida, Dept Geol Sci, Gainesville, FL 32611 USA</t>
  </si>
  <si>
    <t>State University System of Florida; University of Florida</t>
  </si>
  <si>
    <t>Univ Florida, Dept Geol Sci, Gainesville, FL 32611 USA.</t>
  </si>
  <si>
    <t>hscher@ufl.edu</t>
  </si>
  <si>
    <t>Scher, Howie/C-4927-2013</t>
  </si>
  <si>
    <t>ELSEVIER</t>
  </si>
  <si>
    <t>AMSTERDAM</t>
  </si>
  <si>
    <t>RADARWEG 29, 1043 NX AMSTERDAM, NETHERLANDS</t>
  </si>
  <si>
    <t>0012-821X</t>
  </si>
  <si>
    <t>1385-013X</t>
  </si>
  <si>
    <t>EARTH PLANET SC LETT</t>
  </si>
  <si>
    <t>Earth Planet. Sci. Lett.</t>
  </si>
  <si>
    <t>3-4</t>
  </si>
  <si>
    <t>10.1016/j.epsl.2004.10.016</t>
  </si>
  <si>
    <t>882JV</t>
  </si>
  <si>
    <t>WOS:000225936100014</t>
  </si>
  <si>
    <t>Bianchi, C; Gersonde, R</t>
  </si>
  <si>
    <t>Climate evolution at the last deglaciation: the role of the Southern Ocean</t>
  </si>
  <si>
    <t>Southern Ocean; last glacial maximum; termination I; Holocene; sea surface temperatures; sea ice estimates; bipolar seesaw</t>
  </si>
  <si>
    <t>YOUNGER DRYAS EVENT; ANTARCTIC SEA-ICE; U-TH AGES; PLANKTONIC-FORAMINIFERA; MASS-SPECTROMETRY; ATMOSPHERIC CO2; ATLANTIC SECTOR; GLACIAL MAXIMUM; SURFACE; LEVEL</t>
  </si>
  <si>
    <t>Two sediment sequences recovered close to, and south of, the present Polar Front (50degrees, 53degreesS) in the Atlantic sector of the Southern Ocean were analysed in order to evaluate the environmental evolution of the Southern Ocean surface over the last deglaciation and the Holocene. Our reconstruction is based on radiocarbon-dated records of diatom-based sea surface temperature and sea-ice proxies and planktic foraminiferal stable isotopes. The onset of the deglacial warming and gradual southward retreat of the winter sea-ice field between 18 and 17 cal kyr BP, occurrence of a thermal reversal centered at ca. 13 cal kyr BP (Antarctic Cold Reversal, or ACR), and early Holocene occurrence of the climatic optimum well correlate with climatic reconstructions available front the Indian Southern Ocean and from Antarctic ice cores. Time correspondence of Southern Ocean warming and Heinrich event 1 in the North Atlantic is compatible with the transmission of the climate signal from the Northern to the Southern Hemisphere through the bipolar seesaw. Our data support modeling results suggesting that the Northern Hemisphere Bolling warming and turn-on of the North Atlantic Deep Water formation are triggered by gradual warming and sea-ice retreat in the Southern Ocean. Meltwater sheddinq into the Southern Ocean associated with the ACR may maintain Northern Hemisphere warming during the Allerod. The development of sea surface warming! and sea-ice, retreat is compatible with a Southern Ocean control on the atmospheric CO, increase during the deglaciation. During the early Holocene (9-7 cal kyr BP), our southern core records renewed surface ocean cooling and northward readvance of the winter sea-ice field. Such early Holocene cooling is common to cores from the high-latitude Atlantic sector. and might be brought about by expansion of the Weddell Gyre circulation at that time. (C) 2004 Elsevier B.V. All rights reserved.</t>
  </si>
  <si>
    <t>Alfred Wegener Inst Polar &amp; Marine Res, D-27515 Bremerhaven, Germany</t>
  </si>
  <si>
    <t>Helmholtz Association; Alfred Wegener Institute, Helmholtz Centre for Polar &amp; Marine Research</t>
  </si>
  <si>
    <t>Alfred Wegener Inst Polar &amp; Marine Res, POB 120161,Columbusstr, D-27515 Bremerhaven, Germany.</t>
  </si>
  <si>
    <t>rgersonde@awi-bremerhaven.de</t>
  </si>
  <si>
    <t>10.1016/j.epsl.2004.10.003</t>
  </si>
  <si>
    <t>WOS:000225936100015</t>
  </si>
  <si>
    <t>Bart, PJ</t>
  </si>
  <si>
    <t>West-directed flow of the West Antarctic Ice Sheet across Eastern Basin, Ross Sea during the Quaternary</t>
  </si>
  <si>
    <t>Antarctic Ice Sheet; Antarctica; ice streams; glacial troughs; seismic stratigraphy; Ross Bank</t>
  </si>
  <si>
    <t>PLEISTOCENE-HOLOCENE RETREAT; LAST GLACIAL MAXIMUM; CHRONOLOGY; STREAM; SYSTEM; RECORD</t>
  </si>
  <si>
    <t>Detailed seismic-stratigraphic correlations and contour mapping (time-structure and time-thickness) of near-surface units in Eastern Basin, Ross Sea, outer continental shelf suggest that strata outcropping at Ross Bank were deposited as a terminal moraine in association with west-directed advance of the West Antarctic Ice Sheet grounding zone from Marie Byrd Land. During the grounding event, there was a major shift from west-directed ice sheet flow to north-directed ice stream flow. Seismic correlation to age control at DSDP Leg 28 sites 271 and 272 suggests a pre-Last Glacial Maximum Quaternay age for this major grounding event. (C) 2004 Elsevier B.V. All rights reserved.</t>
  </si>
  <si>
    <t>Louisiana State Univ, Dept Geol &amp; Geophys, Baton Rouge, LA 70803 USA</t>
  </si>
  <si>
    <t>Louisiana State University System; Louisiana State University</t>
  </si>
  <si>
    <t>Bart, PJ (corresponding author), Louisiana State Univ, Dept Geol &amp; Geophys, Baton Rouge, LA 70803 USA.</t>
  </si>
  <si>
    <t>pbart@geol.lsu.edu</t>
  </si>
  <si>
    <t>ELSEVIER SCIENCE BV</t>
  </si>
  <si>
    <t>PO BOX 211, 1000 AE AMSTERDAM, NETHERLANDS</t>
  </si>
  <si>
    <t>10.1016/j.epsl.2004.10.014</t>
  </si>
  <si>
    <t>WOS:000225936100016</t>
  </si>
  <si>
    <t>Raphael, MN</t>
  </si>
  <si>
    <t>A zonal wave 3 index for the Southern Hemisphere</t>
  </si>
  <si>
    <t>ANTARCTIC CIRCUMPOLAR WAVE; CIRCULATION; REANALYSIS; PACIFIC; OCEAN; CYCLE</t>
  </si>
  <si>
    <t>In this study 500 hPa geopotential heights from the NCAR-NCEP Reanalysis are used to calculate an index describing the spatial and temporal characteristics of zonal wave three (ZW3) in the high latitude Southern Hemisphere atmosphere. The index spans the period 1958-2001. Wavelet analysis of the index shows the strong interannual variation which is characteristic of ZW3 and also reveals significant, high amplitude decadal-scale variation. This interannual variation takes the form of marked fluctuation in sign and magnitude of the index. It appears to occur when there are rapid changes from strongly meridional to strongly zonal flow or vice versa. Initial indications are that some of this variability may be associated with ENSO events.</t>
  </si>
  <si>
    <t>Univ Calif Los Angeles, Dept Geog, Los Angeles, CA 90095 USA</t>
  </si>
  <si>
    <t>University of California System; University of California Los Angeles</t>
  </si>
  <si>
    <t>Raphael, MN (corresponding author), Univ Calif Los Angeles, Dept Geog, 1255 Bunche Hall, Los Angeles, CA 90095 USA.</t>
  </si>
  <si>
    <t>raphael@geog.ucla.edu</t>
  </si>
  <si>
    <t>L23212</t>
  </si>
  <si>
    <t>10.1029/2004GL020365</t>
  </si>
  <si>
    <t>881QD</t>
  </si>
  <si>
    <t>WOS:000225881900001</t>
  </si>
  <si>
    <t>Canals, M; Lastras, G; Urgeles, R; Casamor, JL; Mienert, J; Cattaneo, A; De Batist, M; Haflidason, H; Imbo, Y; Laberg, JS; Locat, J; Long, D; Longva, O; Masson, DG; Sultan, N; Trincardi, F; Bryn, P</t>
  </si>
  <si>
    <t>Slope failure dynamics and impacts from seafloor and shallow sub-seafloor geophysical data: case studies from the COSTA project</t>
  </si>
  <si>
    <t>MARINE GEOLOGY</t>
  </si>
  <si>
    <t>Review</t>
  </si>
  <si>
    <t>COSTA project; BIG'95 slide; mid-Norwegian margin</t>
  </si>
  <si>
    <t>MADEIRA ABYSSAL-PLAIN; CANARY DEBRIS FLOW; CENTRAL BRANSFIELD BASIN; NORWEGIAN-GREENLAND SEA; EBRO TURBIDITE SYSTEMS; SIDE-SCAN SONAR; SEDIMENTARY PROCESSES; CONTINENTAL-SHELF; EL HIERRO; SEISMIC STRATIGRAPHY</t>
  </si>
  <si>
    <t>Holocene and slightly pre-Holocene submarine landslide are found both in high-latitude glacial-dominated margins and in lower latitude, river-dominated margins. This paper constitutes a major assessment on some of the best-studied submarine instabilities in the world. We review and update from original data and literature reports the current state of knowledge of Storegga, Traenadjupet and Finneidfjord slides from the mid-Norwegian margin, Afen Slide from the Faeroe-Shetland Channel, BIG'95 Slide and Central Adriatic Deformation Belt (CADEB) from continental slope and inner continental shelf settings off the Ebro and Po rivers in the Mediterranean Sea, Canary Slide west of the westernmost, youngest Canary Islands and Gebra Slide off the northern tip of the Antarctic Peninsula in the southern hemisphere, i.e. those studied in the Continental Slope Stability (COSTA) project. The investigated slides range in size from the gigantic 90,000 km(2) and almost 3 000 km(3) Storegga Slide to the tiny 1 km(2) and 0.001 km(3) Finneidfjord Slide. Not only do individual submarine landslides rarely involve processes precisely fitting with pre-established categories, mostly based on subaerial research, but also they display complex mechanical behaviors within the elastic and plastic fields. Individual events can involve simultaneous or successive vertical to translational movements including block detachment, block gliding, debris flow, mud flow and turbidity currents. The need for an in-depth revision of the classification criteria, and eventually for a new classification system, based on the new imaging capabilities provided by modem techniques, is more than obvious. We suggest a new system, which, for the moment, is restricted to debris flows and debris avalanches. Volume calculation methods are critically reviewed and the relations between some key geomorphic parameters are established for the selected slides. The assumed volume missing from scar areas does not necessarily match the actual volume of sediment remobilised by an individual event since in situ sediment can be remoulded and eventually incorporated during the slide downslope journey. CADEB, a shore-parallel prodelta detached from its source, is the exception to the good correlation found between across slope width and alongslope length with slide area. Height drop measured from the headwall upper rim to its foot correlates with the debris deposit maximum thickness unless the slide moves into restricted areas, which prevent farther forward expansion of the deposit, such as Gebra and BIG'95. In such cases, over-thickened' deposits are found. A particularly loose and fluid behavior can be deduced for slides showing an over-thinned' character, such as the Canary Slide that traveled 600 km. Scar areas and slip planes have been investigated with particular emphasis. Although slide headwalls might present locally steep gradients (up to 23degrees for Storegga Slide), the slope gradients of both the failed segment margins and the main slip planes are very low (max. 2degrees and usually around V and less). An exception is the Finneidfjord Slide (20degrees-5degrees) that occurred in 1996 because of a combination of climatic and anthropogenic factors leading to excess pore pressure and failure. Mechanically distinct, low permeable clayey weak layers often correspond to slip planes beyond the slide headwall. Since not only formation of these weak layers but also sedimentation rates are climatically controlled, we can state that slide pre-conditioning is climatically driven too. Run-out distances reflect the degree of disintegration of the failed mass of sediment, the total volume of initially failed material and transport mechanisms, including hydroplanning. Commonly, specific run-outs could be attributed to distinct elements, such as cohesive blocks and looser matrix, as nicely illustrated by the BIG'95 Slide. Total run-outs usually correspond to matrix run-outs since the coarser elements tend to rest at shorter distances. Outrunner blocks are, finally, a very common feature proving the ability of those elements to glide over long distances with independence of the rest of the failed mass. In addition to pre-conditioning factors related to geological setting and sedimentation conditions, a final trigger is required for submarine landslides to take place, which is most often assumed to be an earthquake. In high latitude margins, earthquake magnitude intensification because of post-glacial isostatic rebound has likely played a major role in triggering landslides. Although it cannot be totally ruled out, there is little proof, at least amongst the COSTA slides, that gas hydrate destabilisation or other processes linked to the presence of shallow gas have acted as final triggers. (C) 2004 Elsevier B.V. All rights reserved.</t>
  </si>
  <si>
    <t>Univ Barcelona, GRC Geociencies Marines, Dept Estratig P I Geociencies Marines, E-08028 Barcelona, Spain; Univ Tromso, Inst Geol, N-9037 Tromso, Norway; CNR, Ist Geol Marina, I-40129 Bologna, Italy; Univ Ghent, Renard Ctr Marine Geol, B-9000 Ghent, Belgium; Univ Bergen, Dept Geol, N-5007 Bergen, Norway; Univ Laval, Dept Geol &amp; Geol Engn, Quebec City, PQ G1K 7P4, Canada; British Geol Survey, Edinburgh EH9 3LA, Midlothian, Scotland; Geol Survey Norway, N-7491 Trondheim, Norway; Southampton Oceanog Ctr, Challenger Div Seafloor Proc, Southampton SO14 3ZH, Hants, England; IFREMER, F-29280 Plouzane, France; Norsk Hydro AS, N-0246 Oslo, Norway</t>
  </si>
  <si>
    <t>University of Barcelona; UiT The Arctic University of Tromso; Consiglio Nazionale delle Ricerche (CNR); Istituto di Scienze Marine (ISMAR-CNR); Ghent University; University of Bergen; Laval University; UK Research &amp; Innovation (UKRI); Natural Environment Research Council (NERC); NERC British Geological Survey; Geological Survey of Norway; University of Southampton; NERC National Oceanography Centre; Ifremer; Norsk Hydro ASA</t>
  </si>
  <si>
    <t>Univ Barcelona, GRC Geociencies Marines, Dept Estratig P I Geociencies Marines, E-08028 Barcelona, Spain.</t>
  </si>
  <si>
    <t>miquelcanals@ub.edu</t>
  </si>
  <si>
    <t>Masson, Douglas/AAR-9436-2020; Urgeles, Roger/A-9231-2010; Lastras, Galderic/A-6487-2013; De Batist, Marc/F-5722-2012; Lastras, Galderic/HPF-8363-2023; Sultan, Nabil/K-6852-2012; Casamor, Jose Luis/J-5719-2017; Cattaneo, Antonio/A-7344-2010; CNR, Ismar/P-1247-2014; Canals, Miquel/F-4922-2013</t>
  </si>
  <si>
    <t>Urgeles, Roger/0000-0001-9438-1753; Lastras, Galderic/0000-0002-8756-3855; De Batist, Marc/0000-0002-1625-2080; Lastras, Galderic/0000-0002-8756-3855; Sultan, Nabil/0000-0003-0927-4908; Casamor, Jose Luis/0000-0001-9445-6997; Trincardi, Fabio/0000-0002-8476-8804; Cattaneo, Antonio/0000-0001-5247-9138; CNR, Ismar/0000-0001-5351-1486; Trincardi, Fabio/0009-0003-7078-1631; Canals, Miquel/0000-0001-5267-7601</t>
  </si>
  <si>
    <t>0025-3227</t>
  </si>
  <si>
    <t>1872-6151</t>
  </si>
  <si>
    <t>MAR GEOL</t>
  </si>
  <si>
    <t>Mar. Geol.</t>
  </si>
  <si>
    <t>1-4</t>
  </si>
  <si>
    <t>10.1016/j.margeo.2004.10.001</t>
  </si>
  <si>
    <t>Geosciences, Multidisciplinary; Oceanography</t>
  </si>
  <si>
    <t>Geology; Oceanography</t>
  </si>
  <si>
    <t>885QU</t>
  </si>
  <si>
    <t>WOS:000226172800002</t>
  </si>
  <si>
    <t>Gregg, WW; Casey, NW</t>
  </si>
  <si>
    <t>Global and regional evaluation of the SeaWiFS chlorophyll data set</t>
  </si>
  <si>
    <t>REMOTE SENSING OF ENVIRONMENT</t>
  </si>
  <si>
    <t>SeaWiFS; chlorophyll; global and regional evaluation</t>
  </si>
  <si>
    <t>OCEAN COLOR DATA; REMOTE-SENSING REFLECTANCE; ANTARCTIC PENINSULA WATERS; DISSOLVED ORGANIC-MATTER; TROPICAL PACIFIC-OCEAN; MARINE ECOSYSTEM MODEL; HARMFUL ALGAL BLOOMS; SOUTHERN-OCEAN; COASTAL WATERS; ATMOSPHERIC CORRECTION</t>
  </si>
  <si>
    <t>The Sea-viewing Wide Field-of-view Sensor (SeaWiFS) chlorophyll data set was compared to comprehensive archives of in situ chlorophyll data from NASA and NOAA. The global comparison indicated a root mean square (RMS) log error of 31%, with a coefficient of determination (r(2)) of 0.76, using 4168 data points where in situ and SeaWiFS data were coincident and collocated. RMS log error for open ocean (defined as bottom depth&gt;200 in) was 27.7% with r(2) = 0.72, compared to 33% RMS log error and r(2) = 0.60 on the coasts, indicating a deterioration of quality of the SeaWiFS data set in coastal regions. All of the Pacific oceanographic basins generally showed very good agreement with SeaWiFS, as did the South Atlantic basin. However, poorer agreement was found in the Mediterranean/Black Seas, Equatorial Atlantic, and the Antarctic. Optical complexity arising from riverine inputs, Saharan dust, and anomalous oceanic constituents contributed to the differences observed in the Atlantic, where an overestimation by SeaWiFS occurred. The Antarctic indicated a pronounced negative bias, indicating an underestimation, especially for chlorophyll concentrations greater than about 0.15 mg m(-3). The results provide a comprehensive global and geographic analysis of the SeaWiFS data set, which will assist data users and policy makers in assessing the uncertainty of estimates of global and regional ocean chlorophyll and primary production. (C) 2004 Elsevier Inc. All rights reserved.</t>
  </si>
  <si>
    <t>NASA, Goddard Space Flight Ctr, Global Modeling &amp; Assimilat Off, Lab Hydrospher Proc, Greenbelt, MD 20771 USA; Sci Syst &amp; Applicat Inc, Seabrook, MD 20706 USA</t>
  </si>
  <si>
    <t>National Aeronautics &amp; Space Administration (NASA); NASA Goddard Space Flight Center; Science Systems and Applications Inc</t>
  </si>
  <si>
    <t>NASA, Goddard Space Flight Ctr, Global Modeling &amp; Assimilat Off, Lab Hydrospher Proc, Code 971, Greenbelt, MD 20771 USA.</t>
  </si>
  <si>
    <t>Watson.W.Gregg@nasa.gov</t>
  </si>
  <si>
    <t>Casey, Nancy/0009-0001-7709-889X</t>
  </si>
  <si>
    <t>ELSEVIER SCIENCE INC</t>
  </si>
  <si>
    <t>NEW YORK</t>
  </si>
  <si>
    <t>360 PARK AVE SOUTH, NEW YORK, NY 10010-1710 USA</t>
  </si>
  <si>
    <t>0034-4257</t>
  </si>
  <si>
    <t>1879-0704</t>
  </si>
  <si>
    <t>REMOTE SENS ENVIRON</t>
  </si>
  <si>
    <t>Remote Sens. Environ.</t>
  </si>
  <si>
    <t>10.1016/j.rse.2003.12.012</t>
  </si>
  <si>
    <t>Environmental Sciences; Remote Sensing; Imaging Science &amp; Photographic Technology</t>
  </si>
  <si>
    <t>Environmental Sciences &amp; Ecology; Remote Sensing; Imaging Science &amp; Photographic Technology</t>
  </si>
  <si>
    <t>874PA</t>
  </si>
  <si>
    <t>WOS:000225361100002</t>
  </si>
  <si>
    <t>Siegert, MJ; Hindmarsh, R; Corr, H; Smith, A; Woodward, J; King, EC; Payne, AJ; Joughin, I</t>
  </si>
  <si>
    <t>Subglacial Lake Ellsworth:: A candidate for in situ exploration in West Antarctica -: art. no. L23403</t>
  </si>
  <si>
    <t>ICE-SHEET; VOSTOK; SURFACE; BENEATH; FLOW</t>
  </si>
  <si>
    <t>Radio-echo sounding reveals a 10 km-long lake beneath similar to3.4 km of ice near the Ellsworth Mountains in West Antarctica, 20 km from the ice divide. Subglacial Lake Ellsworth is located within a distinct topographic hollow, which is similar to1.5 km deeper than the surrounding bed. Judging by bed slopes flanking the lake, the water depth is at least 10s of metres. Calculations of basal temperature reveal the ice base to be warm both now and during full glacial periods. As the environments of subglacial lakes are broadly similar, life may be expected in Lake Ellsworth as in any other. Given this, its physical characteristics, and the fact that the West Antarctic Ice Sheet has been accessed on several occasions, Lake Ellsworth is an excellent candidate for in situ examination.</t>
  </si>
  <si>
    <t>Univ Bristol, Sch Geog Sci, Bristol Glaciol Ctr, Bristol BS8 1SS, Avon, England; British Antarctic Survey, Cambridge CB3 0ET, England; Northumbria Univ, Div Geog &amp; Environm Management, Newcastle Upon Tyne NE1 8ST, Tyne &amp; Wear, England; Univ Washington, Appl Phys Lab, Polar Sci Ctr, Seattle, WA 98105 USA</t>
  </si>
  <si>
    <t>University of Bristol; UK Research &amp; Innovation (UKRI); Natural Environment Research Council (NERC); NERC British Antarctic Survey; Northumbria University; University of Washington; University of Washington Seattle</t>
  </si>
  <si>
    <t>Univ Bristol, Sch Geog Sci, Bristol Glaciol Ctr, Bristol BS8 1SS, Avon, England.</t>
  </si>
  <si>
    <t>m.j.siegert@bristol.ac.uk</t>
  </si>
  <si>
    <t>Corr, Hugh/C-5398-2011; Woodward, John/I-1046-2013; Siegert, Martin/M-9939-2019; Joughin, Ian/AAR-7778-2021; Siegert, Martin J/A-3826-2008; Hindmarsh, Richard/N-1195-2019; Joughin, Ian R/A-2998-2008; payne, antony/A-8916-2008</t>
  </si>
  <si>
    <t>Siegert, Martin/0000-0002-0090-4806; Joughin, Ian/0000-0001-6229-679X; Siegert, Martin J/0000-0002-0090-4806; Hindmarsh, Richard/0000-0003-1633-2416; Joughin, Ian R/0000-0001-6229-679X; Woodward, John/0000-0002-4980-4080; payne, antony/0000-0001-8825-8425</t>
  </si>
  <si>
    <t>Natural Environment Research Council [NER/A/S/2001/01011] Funding Source: researchfish</t>
  </si>
  <si>
    <t>Natural Environment Research Council(UK Research &amp; Innovation (UKRI)Natural Environment Research Council (NERC))</t>
  </si>
  <si>
    <t>DEC 14</t>
  </si>
  <si>
    <t>L23403</t>
  </si>
  <si>
    <t>10.1029/2004GL021477</t>
  </si>
  <si>
    <t>881QC</t>
  </si>
  <si>
    <t>WOS:000225881800007</t>
  </si>
  <si>
    <t>Nicholls, KW; Makinson, K; Osterhus, S</t>
  </si>
  <si>
    <t>Circulation and water masses beneath the northern Ronne Ice Shelf, Antarctica</t>
  </si>
  <si>
    <t>JOURNAL OF GEOPHYSICAL RESEARCH-OCEANS</t>
  </si>
  <si>
    <t>Antarctic ice shelves; high-salinity shelf water; circulation</t>
  </si>
  <si>
    <t>CONTINENTAL-SHELF; TIDAL CURRENTS; MODEL; SEA; THICKNESS</t>
  </si>
  <si>
    <t>We present oceanographic data from beneath the northern Ronne Ice Shelf. The data were collected during the austral summer of 2002-2003 from four sites located near the ice front in the Ronne Depression. They consist of conductivity-temperature-depth (CTD) profiles and time series from moored instruments that vary in length from 9 to 20 weeks. A strong, tidally modulated inflow of relatively fresh water was found at the eastern margin of the Ronne Depression. This low-density inflow powers high basal melt rates that are responsible for a substantially thinned area of ice shelf. A northward flow of Ice Shelf Water along the western margin of the depression (the Antarctic Peninsula coast) was inferred from the CTD data. From the new CTD and current meter data, and from published results from cruises along the ice front, we suggest that the flows at the margins of the Ronne Depression establish east-west density gradients that drive an anticyclonic circulation within the depression. The barotropic component of the circulation forms a gyre of strength 5x10(5) m 3 s(-1) and occupies a bowl in the field of water column thickness in the northern portion of the depression. All water masses sampled had temperatures below the surface freezing point and are therefore classified as Ice Shelf Water. The relatively complex nature of the oceanographic regime in the Ronne Depression is overlain by a seasonal variability that is hinted at by the available time series, probably explaining the apparent absence of inflowing HSSW at the time of the measurements.</t>
  </si>
  <si>
    <t>NERC, British Antarctic Survey, Cambridge CB3 0ET, England; Univ Bergen, Bjerknes Ctr Climate Res, Bergen, Norway</t>
  </si>
  <si>
    <t>UK Research &amp; Innovation (UKRI); Natural Environment Research Council (NERC); NERC British Antarctic Survey; University of Bergen; Bjerknes Centre for Climate Research</t>
  </si>
  <si>
    <t>NERC, British Antarctic Survey, Madingley Rd, Cambridge CB3 0ET, England.</t>
  </si>
  <si>
    <t>kwni@bas.ac.uk</t>
  </si>
  <si>
    <t>Makinson, Keith/A-2495-2013</t>
  </si>
  <si>
    <t>Makinson, Keith/0000-0002-5791-1767</t>
  </si>
  <si>
    <t>2169-9275</t>
  </si>
  <si>
    <t>2169-9291</t>
  </si>
  <si>
    <t>J GEOPHYS RES-OCEANS</t>
  </si>
  <si>
    <t>J. Geophys. Res.-Oceans</t>
  </si>
  <si>
    <t>C12</t>
  </si>
  <si>
    <t>C12017</t>
  </si>
  <si>
    <t>10.1029/2004JC002302</t>
  </si>
  <si>
    <t>Oceanography</t>
  </si>
  <si>
    <t>881QK</t>
  </si>
  <si>
    <t>WOS:000225882700006</t>
  </si>
  <si>
    <t>Fretzdorff, S; Worthington, TJ; Haase, KM; Hékinian, R; Franz, L; Keller, RA; Stoffers, P</t>
  </si>
  <si>
    <t>Magmatism in the Bransfield Basin:: Rifting of the South Shetland arc? -: art. no. B12208</t>
  </si>
  <si>
    <t>JOURNAL OF GEOPHYSICAL RESEARCH-SOLID EARTH</t>
  </si>
  <si>
    <t>Bransfield Basin; back-arc basin; volcanic arc; geochemistry</t>
  </si>
  <si>
    <t>NORTHERN MARIANA TROUGH; NW ANTARCTIC PENINSULA; EAST PACIFIC RISE; TRACE-ELEMENT; DECEPTION ISLAND; SPREADING CENTER; ALKALIC BASALTS; ATLANTIC-OCEAN; BACKARC BASIN; RIDGE BASALTS</t>
  </si>
  <si>
    <t>Bransfield Basin is an actively extending marginal basin separating the inactive South Shetland arc from the northern Antarctic Peninsula. Rift-related volcanism is widespread throughout the central Bransfield Basin, but the wider eastern Bransfield Basin was previously unsampled. Lavas recovered from the eastern subbasin form three distinct groups: (1) Bransfield Group has moderate large-ion lithophile element (LILE) enrichment relative to normal mid-ocean ridge basalt (NMORB), (2) Gibbs Group has strong LILE enrichment and is restricted to a relic seamount interpreted as part of the South Shetland arc, and (3) fresh alkali basalt was recovered from the NE part of the basin near Spanish Rise. The subduction-related component in Bransfield and Gibbs Group lavas is a LILE-rich fluid with radiogenic Sr, Nd, and Pb isotope compositions derived predominantly from subducting sediment. These lavas can be modeled as melts from Pacific MORB source mantle contaminated by up to 5% of the subduction-related component. They further reveal that Pacific mantle, rather than South Atlantic mantle, has underlain Bransfield Basin since 3 Ma. Magma productivity decreases abruptly east of Bridgeman Rise, and lavas with the least subduction component outcrop at that end. Both the eastward decrease in subduction component and occurrence of young alkali basalts require that subduction-modified mantle generated during the lifetime of the South Shetland arc has been progressively removed from NE to SW. This is inconsistent with previous models suggesting continued slow subduction at the South Shetland Trench but instead favors models in which the South Scotia Ridge fault has propagated westward since 3 Ma generating transtension across the basin.</t>
  </si>
  <si>
    <t>Univ Kiel, Inst Geowissensch, Abt Geochem, D-24118 Kiel, Germany; Tech Univ Bergakad Freiberg, Inst Mineral, D-09596 Freiberg, Germany; Oregon State Univ, Coll Ocean &amp; Atmospher Sci, Corvallis, OR 97331 USA</t>
  </si>
  <si>
    <t>University of Kiel; Technical University Freiberg; Oregon State University</t>
  </si>
  <si>
    <t>Univ Kiel, Inst Geowissensch, Abt Geochem, Olshausenstr 40, D-24118 Kiel, Germany.</t>
  </si>
  <si>
    <t>sf@gpi.uni-kiel.de</t>
  </si>
  <si>
    <t>Haase, Karsten/0000-0003-4768-5978</t>
  </si>
  <si>
    <t>2169-9313</t>
  </si>
  <si>
    <t>2169-9356</t>
  </si>
  <si>
    <t>J GEOPHYS RES-SOL EA</t>
  </si>
  <si>
    <t>J. Geophys. Res.-Solid Earth</t>
  </si>
  <si>
    <t>B12</t>
  </si>
  <si>
    <t>B12208</t>
  </si>
  <si>
    <t>10.1029/2004JB003046</t>
  </si>
  <si>
    <t>881QN</t>
  </si>
  <si>
    <t>WOS:000225883000001</t>
  </si>
  <si>
    <t>Clilverd, MA; Rodger, CJ; Nunn, D</t>
  </si>
  <si>
    <t>Radiation belt electron precipitation fluxes associated with lightning</t>
  </si>
  <si>
    <t>lightning; electron precipitation; inner radiation belt; Whistler; Trimpi; Antarctica</t>
  </si>
  <si>
    <t>AMPLITUDE PERTURBATIONS; WHISTLERS; PHASE; MAGNETOSPHERE; PLASMASPHERE; SATELLITE; LIFETIMES; NETWORK; PATCHES</t>
  </si>
  <si>
    <t>In this study we consider the dependence of precipitation fluxes arising from whistler-induced radiation belt losses on the strength of the associated lightning's return stroke current. As a result of this work, it will be possible to use lightning activity data sets to estimate globally induced precipitation flux rates and thus determine the lightning-induced effect on the radiation belts more accurately. Four study days were selected, during which a high proportion of the lightning activity occurring near the east coast of North America produced observable Trimpi effects on VLF transmitter signals propagating in the region of the Antarctic Peninsula (similar toL = 2-2.5). The lack of lightning in Antarctica gives this location a unique advantage for this study. The functional dependence of the relative scattered field amplitude with the return stroke peak current of the lightning discharge suggests that during these events diffusion conditions are occurring near the precipitating radiation belt particles loss cone due to strong whistler wave fields, probably caused by ducted signals. The range of observed Trimpi scatter amplitude of -10 to -35 dB was produced by precipitation bursts with energy fluxes estimated to range over 6.5-0.4 x 10(-3) ergs cm(-2) s(-1). The largest fluxes were found to be driven by lightning currents of about 250 kA, while the smallest detectable fluxes relate to lightning currents of 70 kA. Although 3 of the 4 study days showed a high degree of consistency between the levels of lightning return stroke peak current required to produce any given perturbation scatter amplitude value, conditions were significantly different on 23 April 1994. On this day, observed Trimpi signatures were 6-7 dB greater for any given lightning intensity than on the other study days. These events are consistent with a significantly harder radiation belt precipitation spectra, probably caused by geomagnetic storm-time acceleration processes of radiation belt electrons.</t>
  </si>
  <si>
    <t>British Antarctic Survey, NERC, Cambridge CB3 0ET, England; Univ Southampton, Dept Elect &amp; Comp Sci, Southampton SO17 1BJ, Hants, England; Univ Otago, Dept Phys, Dunedin, New Zealand</t>
  </si>
  <si>
    <t>UK Research &amp; Innovation (UKRI); Natural Environment Research Council (NERC); NERC British Antarctic Survey; University of Southampton; University of Otago</t>
  </si>
  <si>
    <t>British Antarctic Survey, NERC, Madingley Rd, Cambridge CB3 0ET, England.</t>
  </si>
  <si>
    <t>macl@bas.ac.uk; crodger@physics.otago.ac.nz; dn@ecs.soton.ac.uk</t>
  </si>
  <si>
    <t>Rodger, Craig/A-1501-2011</t>
  </si>
  <si>
    <t>Rodger, Craig J./0000-0002-6770-2707</t>
  </si>
  <si>
    <t>DEC 10</t>
  </si>
  <si>
    <t>A12208</t>
  </si>
  <si>
    <t>10.1029/2004JA010644</t>
  </si>
  <si>
    <t>881PU</t>
  </si>
  <si>
    <t>WOS:000225880700009</t>
  </si>
  <si>
    <t>Payne, AJ; Vieli, A; Shepherd, AP; Wingham, DJ; Rignot, E</t>
  </si>
  <si>
    <t>Recent dramatic thinning of largest West Antarctic ice stream triggered by oceans</t>
  </si>
  <si>
    <t>PINE ISLAND GLACIER; SHELF; SENSITIVITY; SHEET; MODEL; FLOW; BAY</t>
  </si>
  <si>
    <t>A growing body of observational data suggests that Pine Island Glacier (PIG) is changing on decadal or shorter timescales. These changes may have far-reaching consequences for the future of the West Antarctic ice sheet (WAIS) and global sea levels because of PIG's role as the ice sheet's primary drainage portal. We test the hypothesis that these changes are triggered by the adjoining ocean. Specifically, we employ an advanced numerical ice-flow model to simulate the effects of perturbations at the grounding line on PIG's dynamics. The speed at which these changes are propagated upstream implies a tight coupling between ice-sheet interior and surrounding ocean.</t>
  </si>
  <si>
    <t>Univ Bristol, CPOM, Bristol BS8 1SS, Avon, England; Univ Cambridge, Scott Polar Res Inst, CPOM, Cambridge CB2 1ER, England; UCL, CPOM, London WC1E 6BT, England; CALTECH, Jet Prop Lab, Pasadena, CA 91109 USA</t>
  </si>
  <si>
    <t>University of Bristol; University of Cambridge; University of London; University College London; National Aeronautics &amp; Space Administration (NASA); NASA Jet Propulsion Laboratory (JPL); California Institute of Technology</t>
  </si>
  <si>
    <t>Univ Bristol, CPOM, Univ Rd, Bristol BS8 1SS, Avon, England.</t>
  </si>
  <si>
    <t>a.j.payne@bristol.ac.uk</t>
  </si>
  <si>
    <t>Rignot, Eric/A-4560-2014; Vieli, Andreas/A-6767-2011; payne, antony/A-8916-2008</t>
  </si>
  <si>
    <t>Rignot, Eric/0000-0002-3366-0481; Shepherd, Andrew/0000-0002-4914-1299; payne, antony/0000-0001-8825-8425</t>
  </si>
  <si>
    <t>DEC 9</t>
  </si>
  <si>
    <t>L23401</t>
  </si>
  <si>
    <t>10.1029/2004GL021284</t>
  </si>
  <si>
    <t>881PC</t>
  </si>
  <si>
    <t>Green Published, Green Accepted, Bronze</t>
  </si>
  <si>
    <t>WOS:000225878800003</t>
  </si>
  <si>
    <t>Shepherd, A; Wingham, D; Rignot, E</t>
  </si>
  <si>
    <t>Warm ocean is eroding West Antarctic Ice Sheet</t>
  </si>
  <si>
    <t>PINE ISLAND GLACIER; TIDAL MOTION; SHELF; SEA</t>
  </si>
  <si>
    <t>Satellite radar measurements show that ice shelves in Pine Island Bay have thinned by up to 5.5 m yr(-1) over the past decade. The pattern of shelf thinning mirrors that of their grounded tributaries-the Pine Island, Thwaites and Smith glaciers- and ocean currents on average 0.5degreesC warmer than freezing appear to be the source. The synchronised imbalance of the inland glaciers is the result of reduced lateral and basal tractions at their termini, and the drawdown of grounded ice shows that Antarctica is more sensitive to changing climates than was previously considered.</t>
  </si>
  <si>
    <t>Univ Cambridge, Scott Polar Res Inst, Ctr Polar Observat &amp; Modelling, Cambridge CB2 1ER, England; UCL, Ctr Polar Observat &amp; Modelling, London WC1E 6BT, England; CALTECH, Jet Prop Lab, Pasadena, CA 91109 USA</t>
  </si>
  <si>
    <t>University of Cambridge; University of London; University College London; California Institute of Technology; National Aeronautics &amp; Space Administration (NASA); NASA Jet Propulsion Laboratory (JPL)</t>
  </si>
  <si>
    <t>Univ Cambridge, Scott Polar Res Inst, Ctr Polar Observat &amp; Modelling, Cambridge CB2 1ER, England.</t>
  </si>
  <si>
    <t>aps46@cam.ac.uk</t>
  </si>
  <si>
    <t>Rignot, Eric/A-4560-2014</t>
  </si>
  <si>
    <t>Rignot, Eric/0000-0002-3366-0481; Shepherd, Andrew/0000-0002-4914-1299</t>
  </si>
  <si>
    <t>L23402</t>
  </si>
  <si>
    <t>10.1029/2004GL021106</t>
  </si>
  <si>
    <t>WOS:000225878800001</t>
  </si>
  <si>
    <t>Meijer, YJ; Swart, DPJ; Allaart, M; Andersen, SB; Bodeker, G; Boyd, I; Braathen, G; Calisesi, Y; Claude, H; Dorokhov, V; von der Gathen, P; Gil, M; Godin-Beekmann, S; Goutail, F; Hansen, G; Karpetchko, A; Keckhut, P; Kelder, HM; Koelemeijer, R; Kois, B; Koopman, RM; Kopp, G; Lambert, JC; Leblanc, T; McDermid, IS; Pal, S; Schets, H; Stubi, R; Suortti, T; Visconti, G; Yela, M</t>
  </si>
  <si>
    <t>Pole-to-pole validation of Envisat GOMOS ozone profiles using data from ground-based and balloon sonde measurements</t>
  </si>
  <si>
    <t>GOMOS; Envisat; ozone profile; validation; stratosphere; remote sensing</t>
  </si>
  <si>
    <t>STELLAR OCCULTATION TECHNIQUE; STRATOSPHERIC OZONE; CHROMATIC REFRACTION; LIDAR MEASUREMENTS; INVERSION METHOD; SAGE-II; NETWORK; LAUDER; STARS; OPAL</t>
  </si>
  <si>
    <t>In March 2002 the European Space Agency (ESA) launched the polar-orbiting environmental satellite Envisat. One of its nine instruments is the Global Ozone Monitoring by Occultation of Stars (GOMOS) instrument, which is a medium-resolution stellar occultation spectrometer measuring vertical profiles of ozone. In the first year after launch a large group of scientists performed additional measurements and validation activities to assess the quality of Envisat observations. In this paper, we present validation results of GOMOS ozone profiles from comparisons to microwave radiometer, balloon ozonesonde, and lidar measurements worldwide. Thirty-one instruments/ launch sites at twenty-five stations ranging from the Arctic to the Antarctic joined in this activity. We identified 6747 collocated observations that were performed within an 800-km radius and a maximum 20-hour time difference of a satellite observation, for the period between 1 July 2002 and 1 April 2003. The GOMOS data analyzed here have been generated with a prototype processor that corresponds to version 4.02 of the operational GOMOS processor. The GOMOS data initially contained many obviously unrealistic values, most of which were successfully removed by imposing data quality criteria. Analyzing the effect of these criteria indicated, among other things, that for some specific stars, only less than 10% of their occultations yield an acceptable profile. The total number of useful collocated observations was reduced to 2502 because of GOMOS data unavailability, the imposed data quality criteria, and lack of altitude overlap. These collocated profiles were compared, and the results were analyzed for possible dependencies on several geophysical (e.g., latitude) and GOMOS observational (e.g., star characteristics) parameters. We find that GOMOS data quality is strongly dependent on the illumination of the limb through which the star is observed. Data measured under bright limb conditions, and to a certain extent also in twilight limb, should be used with caution, as their usability is doubtful. In dark limb the GOMOS data agree very well with the correlative data, and between 14- and 64-km altitude their differences only show a small (2.5-7.5%) insignificant negative bias with a standard deviation of 11-16% (19-63 km). This conclusion was demonstrated to be independent of the star temperature and magnitude and the latitudinal region of the GOMOS observation, with the exception of a slightly larger bias in the polar regions at altitudes between 35 and 45 km.</t>
  </si>
  <si>
    <t>RIVM, Environm Risks &amp; Safety Div, Environm Measurements Lab, Nat Inst Publ Hlth &amp; Environm, NL-3720 BA Bilthoven, Netherlands; Royal Netherlands Meteorol Inst, NL-3730 AE De Bilt, Netherlands; Danish Meteorol Inst, Dept Res &amp; Dev, DK-2100 Copenhagen, Denmark; Natl Inst Water &amp; Atmospher Res, Lauder, New Zealand; Univ Massachusetts, Dept Astron, Amherst, MA 01003 USA; Norwegian Inst Air Res, N-2027 Kjeller, Norway; Univ Bern, Inst Appl Phys, CH-3012 Bern, Switzerland; Deutsch Wetterdienst, Meteorol Observ, D-82383 Hohenpeissenberg, Germany; Cent Aerol Observ, Moscow, Russia; Inst Nacl Tecn Aeroespacial, E-28850 Torrejon de Ardoz, Spain; Univ Paris 06, CNRS, Serv Aeron, F-75252 Paris 05, France; CNRS, Serv Aeron, F-91371 Verrieres Le Buisson, France; Norwegian Inst Air Res, N-9001 Tromso, Norway; Finnish Meteorol Inst, FI-99600 Sodankyla, Finland; Univ Versailles Saint Quentin, Inst Pierre Simon Laplace, F-91371 Verrieres Le Buisson, France; RIVM, Netherlands Environm Assessment Agcy, NL-3720 BA Bilthoven, Netherlands; Inst Meteorol &amp; Water Management, PL-00629 Warsaw, Poland; European Space Agcy, I-00044 Frascati, Italy; Forschungszentrum Karlsruhe, Inst Meteorol &amp; Klimaforsch, D-76021 Karlsruhe, Germany; Space Aeron Inst Belgium, B-1180 Brussels, Belgium; Table Mt Observ, Jet Propuls Lab, Wrightwood, CA 92397 USA; Royal Meteorol Inst Belgium, B-1180 Brussels, Belgium; MeteoSwiss, Stn Aerol, CH-1530 Payerne, Switzerland; Univ Aquila, Dept Phys, I-67010 Coppito, Italy; Alfred Wegener Inst Polar &amp; Marine Res, D-14473 Potsdam, Germany; Eindhoven Univ Technol, Fac Appl Phys, NL-5600 MB Eindhoven, Netherlands</t>
  </si>
  <si>
    <t>Netherlands National Institute for Public Health &amp; the Environment; Royal Netherlands Meteorological Institute; Danish Meteorological Institute DMI; National Institute of Water &amp; Atmospheric Research (NIWA) - New Zealand; University of Massachusetts System; University of Massachusetts Amherst; NILU; University of Bern; Deutscher Wetterdienst; Sorbonne Universite; Centre National de la Recherche Scientifique (CNRS); Centre National de la Recherche Scientifique (CNRS); NILU; Finnish Meteorological Institute; Universite Paris Saclay; Netherlands National Institute for Public Health &amp; the Environment; Institute of Meteorology &amp; Water Management; European Space Agency; Helmholtz Association; Karlsruhe Institute of Technology; National Aeronautics &amp; Space Administration (NASA); NASA Jet Propulsion Laboratory (JPL); Royal Meteorological Institute of Belgium; Federal Office of Meteorology &amp; Climatology (MeteoSwiss); University of L'Aquila; Helmholtz Association; Alfred Wegener Institute, Helmholtz Centre for Polar &amp; Marine Research; Eindhoven University of Technology</t>
  </si>
  <si>
    <t>RIVM, Environm Risks &amp; Safety Div, Environm Measurements Lab, Nat Inst Publ Hlth &amp; Environm, POB 1, NL-3720 BA Bilthoven, Netherlands.</t>
  </si>
  <si>
    <t>yasjka.meijer@rivm.nl; daan.swart@rivm.nl; allaart@knmi.nl; sba@dmi.dk; g.bodeker@niwa.co.nz; i.boyd@niwa.com; geir@nilu.no; yasmine.calisesi@issi.unibe.ch; hans.claude@dwd.de; vdor@caomsk.mipt.ru; gathen@awi-potsdam.de; gilm@inta.es; sophie.godin@aero.jussieu.fr; fgoutail@aerov.jussieu.fr; ghh@nilu.no; alex.karpetchko@fmi.fi; philippe.keckhut@aerov.jussieu.fr; robert.koelemeijer@rivm.nl; bogdan.kois@imgw.pl; rob.koopman@esa.int; kopp@imk.fzk.de; lambert@bira-iasb.oa.be; leblanc@tmf.jpl.nasa.gov; mcdermid@tmf.jpl.nasa.gov; shiv@yorku.ca; henk.schets@oma.be; rsi@meteoswiss.ch; tuomo.suortti@fmi.fi; guido.visconti@aquila.infn.it; yelam@inta.es</t>
  </si>
  <si>
    <t>Karpechko, Alexey/JVN-9414-2024; Bodeker, Greg E/A-8870-2008; Lambert, Jean-Christopher/IUN-1096-2023; von der Gathen, Peter/B-8515-2009; Keckhut, Philippe/AFO-0077-2022; Andersen, Signe/C-4809-2013; Yela Gonzalez, Margarita/J-7346-2016</t>
  </si>
  <si>
    <t>Karpechko, Alexey/0000-0003-0902-0414; Lambert, Jean-Christopher/0000-0001-7243-6848; von der Gathen, Peter/0000-0001-7409-1556; Bodeker, Gregory/0000-0003-1094-5852; Andersen, Signe/0000-0002-8216-0141; Yela Gonzalez, Margarita/0000-0003-3775-3156</t>
  </si>
  <si>
    <t>D23</t>
  </si>
  <si>
    <t>D23305</t>
  </si>
  <si>
    <t>10.1029/2004JD004834</t>
  </si>
  <si>
    <t>881PJ</t>
  </si>
  <si>
    <t>WOS:000225879500001</t>
  </si>
  <si>
    <t>Peck, L</t>
  </si>
  <si>
    <t>Under Antarctic ice: The photographs of Norbert Wu</t>
  </si>
  <si>
    <t>Book Review</t>
  </si>
  <si>
    <t>British Antarctic Survey, Cambridge CB3 0ET, England</t>
  </si>
  <si>
    <t>UK Research &amp; Innovation (UKRI); Natural Environment Research Council (NERC); NERC British Antarctic Survey</t>
  </si>
  <si>
    <t>Peck, L (corresponding author), British Antarctic Survey, High Cross,Madingley Rd, Cambridge CB3 0ET, England.</t>
  </si>
  <si>
    <t>NATURE PORTFOLIO</t>
  </si>
  <si>
    <t>BERLIN</t>
  </si>
  <si>
    <t>HEIDELBERGER PLATZ 3, BERLIN, 14197, GERMANY</t>
  </si>
  <si>
    <t>10.1038/432675b</t>
  </si>
  <si>
    <t>877UE</t>
  </si>
  <si>
    <t>WOS:000225597200023</t>
  </si>
  <si>
    <t>Frozen oceans</t>
  </si>
  <si>
    <t>WOS:000225597200024</t>
  </si>
  <si>
    <t>Espy, PJ; Jones, GOL; Swenson, GR; Tang, J; Taylor, MJ</t>
  </si>
  <si>
    <t>Seasonal variations of the gravity wave momentum flux in the Antarctic mesosphere and lower thermosphere</t>
  </si>
  <si>
    <t>gravity wave; momentum flux; Antarctic; mesosphere</t>
  </si>
  <si>
    <t>IMAGING DOPPLER INTERFEROMETER; SUMMER MESOPAUSE CIRCULATION; STARFIRE OPTICAL-RANGE; MIDDLE ATMOSPHERE; MERIDIONAL CIRCULATION; THERMAL STRUCTURE; OH AIRGLOW; RADAR; WINDS; TEMPERATURE</t>
  </si>
  <si>
    <t>Airglow imager and dynasonde/imaging Doppler interferometer (IDI) radar wind measurements at Halley Station, Antarctica (75.6degreesS, 26.6degreesW) have been used to estimate the seasonal variation of the vertical fluxes of horizontal momentum carried by high-frequency atmospheric gravity waves. The cross-correlation coefficients between the vertical and horizontal wind perturbations were calculated from sodium (Na) airglow imager data collected during the austral winter seasons of 2000 and 2001. These were combined with wind velocity variances from coincident radar measurements to estimate the daily averaged upper limit of the vertical flux of horizontal momentum due to gravity waves. The resulting momentum flux at the Na airglow altitudes, while displaying a large day-to-day variability, showed a marked rotation from the northwest to the southeast throughout the winter season. Calculations show that this rotation is consistent with seasonal changes in the wind field filtering of gravity waves below the Na airglow region. The calculations also indicate that while the magnitude of the meridional wind is small, this filtering leads to the observed seasonal changes in the meridional momentum flux.</t>
  </si>
  <si>
    <t>British Antarctic Survey, NERC, Cambridge CB3 0ET, England; Univ Illinois, Dept Elect &amp; Comp Engn, Urbana, IL 61801 USA; Utah State Univ, Dept Phys, Logan, UT 84322 USA</t>
  </si>
  <si>
    <t>UK Research &amp; Innovation (UKRI); Natural Environment Research Council (NERC); NERC British Antarctic Survey; University of Illinois System; University of Illinois Urbana-Champaign; Utah System of Higher Education; Utah State University</t>
  </si>
  <si>
    <t>Espy, PJ (corresponding author), British Antarctic Survey, NERC, High Cross,Madingley Rd, Cambridge CB3 0ET, England.</t>
  </si>
  <si>
    <t>p.espy@bas.ac.uk</t>
  </si>
  <si>
    <t>DEC 8</t>
  </si>
  <si>
    <t>D23109</t>
  </si>
  <si>
    <t>10.1029/2003JD004446</t>
  </si>
  <si>
    <t>881PI</t>
  </si>
  <si>
    <t>Bronze, Green Published</t>
  </si>
  <si>
    <t>WOS:000225879400001</t>
  </si>
  <si>
    <t>Wade, BS; Pälike, H</t>
  </si>
  <si>
    <t>Oligocene climate dynamics -: art. no. PA4019</t>
  </si>
  <si>
    <t>Oligocene; stable isotopes; ice volume</t>
  </si>
  <si>
    <t>SEA-SURFACE TEMPERATURES; NEW-JERSEY; STABLE-ISOTOPE; CARBON-ISOTOPE; ASTRONOMICAL CALIBRATION; INSOLATION QUANTITIES; CHAOTIC DIFFUSION; SOUTH ATLANTIC; COASTAL-PLAIN; LATE MIOCENE</t>
  </si>
  <si>
    <t>A planktonic and benthic foraminiferal stable isotope stratigraphy of the Oligocene equatorial Pacific (Ocean Drilling Program, Site 1218) was generated at 6 kyr resolution between magnetochrons C9n and C11n.2n (similar to26.4-30 Ma on a newly developed astronomically calibrated timescale). Our data allow a detailed examination of Oligocene paleoceanography, the evolution of the early cryosphere, and the influence of orbital forcing on glacioeustatic sea level variations. Spectral analysis reveals power and coherency for obliquity (40 kyr period) and eccentricity (similar to110, 405 kyr) orbital bands, with an additional strong imprint of the eccentricity and 1.2 Myr obliquity amplitude cycle, driving ice sheet oscillations in the Southern Hemisphere. Planktonic and benthic foraminifera delta(18)O are used to constrain the magnitude and timing of major fluctuations in ice volume and global sea level change. Glacial episodes, related to obliquity and eccentricity variations, occurred at 29.16, 27.91, and 26.76 Ma, corresponding to glacioeustatic sea level fluctuations of 50-65 m. Alteration of high-latitude temperatures and Antarctic ice volume had a significant impact on the global carbon burial and equatorial productivity, as cyclic variations are also recorded in the carbon isotope signal of planktonic and benthic foraminifera, the water column carbon isotope gradient, and estimated percent carbonate of bulk sediment. We also investigate the implications of a close correspondence between oxygen and carbon isotope events and long-term amplitude envelope extrema in astronomical calculations during the Oligocene, and develop a new naming scheme for stable isotope events, on the basis of the 405 kyr eccentricity cycle count.</t>
  </si>
  <si>
    <t>Univ Edinburgh, Sch Geosci, Grant Inst Earth Sci, Edinburgh, Midlothian, Scotland; Stockholm Univ, Dept Geol &amp; Geochem, S-10691 Stockholm, Sweden</t>
  </si>
  <si>
    <t>University of Edinburgh; Stockholm University</t>
  </si>
  <si>
    <t>Cardiff Univ, Sch Earth Ocean &amp; Planetary Sci, Main Bldg,Pk Pl, Cardiff CF10 3YE, S Glam, Wales.</t>
  </si>
  <si>
    <t>wadeb2@cardiff.ac.uk; heiko.palike@soc.soton.ac.uk</t>
  </si>
  <si>
    <t>Wade, Bridget S/F-4987-2014; Pälike, Heiko/A-6560-2008</t>
  </si>
  <si>
    <t>Wade, Bridget S/0000-0002-7245-8614; Pälike, Heiko/0000-0003-3386-0923</t>
  </si>
  <si>
    <t>PA4019</t>
  </si>
  <si>
    <t>10.1029/2004PA001042</t>
  </si>
  <si>
    <t>881PV</t>
  </si>
  <si>
    <t>WOS:000225880800002</t>
  </si>
  <si>
    <t>Gauthier-Clerc, M; Gendner, JP; Ribic, CA; Fraser, WR; Woehler, EJ; Descamps, S; Gilly, C; Le Bohec, C; Le Maho, Y</t>
  </si>
  <si>
    <t>Long-term effects of flipper bands on penguins</t>
  </si>
  <si>
    <t>PROCEEDINGS OF THE ROYAL SOCIETY B-BIOLOGICAL SCIENCES</t>
  </si>
  <si>
    <t>life history; monitoring; conservation; seabird; banding; Aptenodytes patagonicus</t>
  </si>
  <si>
    <t>KING PENGUINS; BREEDING CYCLE</t>
  </si>
  <si>
    <t>Changes in seabird populations, and particularly of penguins, offer a unique opportunity for investigating the impact of fisheries and climatic variations on marine resources. Such investigations often require large-scale banding to identify individual birds, but the significance of the data relies on the assumption that no bias is introduced in this type of long-term monitoring. After 5 years of using an automated system of identification of king penguins implanted with electronic tags (100 adult king penguins were implanted with a transponder tag, 50 of which were also flipper banded), we can report that banding results in later arrival at the colony for courtship in some years, lower breeding probability and lower chick production. We also found that the survival rate of unbanded, electronically tagged king penguin chicks after 2-3 years is approximately twice as large as that reported in the literature for banded chicks.</t>
  </si>
  <si>
    <t>Stn Biol Tour Valat, F-13200 Arles, France; CNRS, Ctr Ecol &amp; Physiol Energet, F-67087 Strasbourg 2, France; Inst Polaire Francais Paul Emile, F-29280 Plouzane, France; Univ Wisconsin, USGS Wisconsin Cooperat Wildlfe Res Unit, Dept Wildlife Ecol, Madison, WI 53706 USA; Polar Oceans Res Grp, Sheridan, MT 59749 USA; Australian Antarctic Div, Kingston, Tas 7050, Australia</t>
  </si>
  <si>
    <t>Centre National de la Recherche Scientifique (CNRS); Universites de Strasbourg Etablissements Associes; Universite de Strasbourg; United States Department of the Interior; United States Geological Survey; University of Wisconsin System; University of Wisconsin Madison; Australian Antarctic Division</t>
  </si>
  <si>
    <t>Gauthier-Clerc, M (corresponding author), Stn Biol Tour Valat, F-13200 Arles, France.</t>
  </si>
  <si>
    <t>gauthier-clerc@tourduvalat.org</t>
  </si>
  <si>
    <t>LE BOHEC, CELINE/AAD-3589-2022</t>
  </si>
  <si>
    <t>Woehler, Eric/0000-0002-1125-0748</t>
  </si>
  <si>
    <t>ROYAL SOC</t>
  </si>
  <si>
    <t>6-9 CARLTON HOUSE TERRACE, LONDON SW1Y 5AG, ENGLAND</t>
  </si>
  <si>
    <t>0962-8452</t>
  </si>
  <si>
    <t>P ROY SOC B-BIOL SCI</t>
  </si>
  <si>
    <t>Proc. R. Soc. B-Biol. Sci.</t>
  </si>
  <si>
    <t>DEC 7</t>
  </si>
  <si>
    <t>S423</t>
  </si>
  <si>
    <t>S426</t>
  </si>
  <si>
    <t>10.1098/rsbl.2004.0201</t>
  </si>
  <si>
    <t>Biology; Ecology; Evolutionary Biology</t>
  </si>
  <si>
    <t>Life Sciences &amp; Biomedicine - Other Topics; Environmental Sciences &amp; Ecology; Evolutionary Biology</t>
  </si>
  <si>
    <t>884QJ</t>
  </si>
  <si>
    <t>WOS:000226100600012</t>
  </si>
  <si>
    <t>Lehrer, E; Hönninger, G; Platt, U</t>
  </si>
  <si>
    <t>A one dimensional model study of the mechanism of halogen liberation and vertical transport in the polar troposphere</t>
  </si>
  <si>
    <t>ATMOSPHERIC CHEMISTRY AND PHYSICS</t>
  </si>
  <si>
    <t>OZONE DEPLETION EVENTS; SULFURIC-ACID-SOLUTIONS; MARINE BOUNDARY-LAYER; HYDROCARBON MEASUREMENTS; ARCTIC TROPOSPHERE; SUNRISE EXPERIMENT; BROMINE OXIDE; ATMOSPHERIC CHEMISTRY; BRO CONCENTRATIONS; STRATOSPHERIC BRO</t>
  </si>
  <si>
    <t>Sudden depletions of tropospheric ozone during spring were reported from the Arctic and also from Antarctic coastal sites. Field studies showed that those depletion events are caused by reactive halogen species, especially bromine compounds. However the source and seasonal variation of reactive halogen species is still not completely understood. There are several indications that the halogen mobilisation from the sea ice surface of the polar oceans may be the most important source for the necessary halogens. Here we present a one dimensional model study aimed at determining the primary source of reactive halogens. The model includes gas phase and heterogeneous bromine and chlorine chemistry as well as vertical transport between the surface and the top of the boundary layer. The autocatalytic Br release by photochemical processes (bromine explosion) and subsequent rapid bromine catalysed ozone depletion is well reproduced in the model and the major source of reactive bromine appears to be the sea ice surface. The sea salt aerosol alone is not sufficient to yield the high levels of reactive bromine in the gas phase necessary for fast ozone depletion. However, the aerosol efficiently recycles less reactive bromine species (e.g. HBr) and feeds them back into the ozone destruction cycle. Isolation of the boundary layer air from the free troposphere by a strong temperature inversion was found to be critical for boundary layer ozone depletion to happen. The combination of strong surface inversions and presence of sunlight occurs only during polar spring.</t>
  </si>
  <si>
    <t>Heidelberg Univ, Inst Umweltphys, D-6900 Heidelberg, Germany</t>
  </si>
  <si>
    <t>Ruprecht Karls University Heidelberg</t>
  </si>
  <si>
    <t>Meteorol Serv Canada, Toronto, ON, Canada.</t>
  </si>
  <si>
    <t>Gerd.Hoenninger@ec.gc.ca</t>
  </si>
  <si>
    <t>Platt, Ulrich/HZM-2289-2023</t>
  </si>
  <si>
    <t>COPERNICUS GESELLSCHAFT MBH</t>
  </si>
  <si>
    <t>GOTTINGEN</t>
  </si>
  <si>
    <t>BAHNHOFSALLEE 1E, GOTTINGEN, 37081, GERMANY</t>
  </si>
  <si>
    <t>1680-7316</t>
  </si>
  <si>
    <t>1680-7324</t>
  </si>
  <si>
    <t>ATMOS CHEM PHYS</t>
  </si>
  <si>
    <t>Atmos. Chem. Phys.</t>
  </si>
  <si>
    <t>DEC 6</t>
  </si>
  <si>
    <t>10.5194/acp-4-2427-2004</t>
  </si>
  <si>
    <t>Environmental Sciences; Meteorology &amp; Atmospheric Sciences</t>
  </si>
  <si>
    <t>Environmental Sciences &amp; Ecology; Meteorology &amp; Atmospheric Sciences</t>
  </si>
  <si>
    <t>877CS</t>
  </si>
  <si>
    <t>Green Published, Green Submitted, gold</t>
  </si>
  <si>
    <t>WOS:000225546000001</t>
  </si>
  <si>
    <t>Couser, GA</t>
  </si>
  <si>
    <t>Antarctic emergency</t>
  </si>
  <si>
    <t>MEDICAL JOURNAL OF AUSTRALIA</t>
  </si>
  <si>
    <t>News Item</t>
  </si>
  <si>
    <t>Royal Hobart Hosp, Hobart, Tas, Australia</t>
  </si>
  <si>
    <t>Royal Hobart Hospital</t>
  </si>
  <si>
    <t>Couser, GA (corresponding author), Royal Hobart Hosp, Hobart, Tas, Australia.</t>
  </si>
  <si>
    <t>Geoffrey.couser@dhhs.tas.gov.au</t>
  </si>
  <si>
    <t>AUSTRALASIAN MED PUBL CO LTD</t>
  </si>
  <si>
    <t>SYDNEY</t>
  </si>
  <si>
    <t>LEVEL 1, 76 BERRY ST, SYDNEY, NSW 2060, AUSTRALIA</t>
  </si>
  <si>
    <t>0025-729X</t>
  </si>
  <si>
    <t>MED J AUSTRALIA</t>
  </si>
  <si>
    <t>Med. J. Aust.</t>
  </si>
  <si>
    <t>11-12</t>
  </si>
  <si>
    <t>10.5694/j.1326-5377.2004.tb06505.x</t>
  </si>
  <si>
    <t>Medicine, General &amp; Internal</t>
  </si>
  <si>
    <t>General &amp; Internal Medicine</t>
  </si>
  <si>
    <t>884CE</t>
  </si>
  <si>
    <t>WOS:000226061400031</t>
  </si>
  <si>
    <t>Yoshiki, M; Kizu, N; Sato, K</t>
  </si>
  <si>
    <t>Energy enhancements of gravity waves in the Antarctic lower stratosphere associated with variations in the polar vortex and tropospheric disturbances</t>
  </si>
  <si>
    <t>gravity waves; the Antarctic; lower stratosphere</t>
  </si>
  <si>
    <t>MACQUARIE ISLAND; LOWER ATMOSPHERE; MOMENTUM FLUX; MU-RADAR; PACKETS; STATION</t>
  </si>
  <si>
    <t>Gravity waves in the Antarctic lower stratosphere are examined using original operational radiosonde data obtained at Syowa Station (69.0degreesS, 39.6degreesE) with fine vertical resolution. In the lower stratosphere the temporal variation in gravity wave energy depends on height. In the height region of 13-15 km, just above the tropopause, the seasonal variation in gravity wave energy is not evident. The wave energy is rather enhanced when the absolute value of potential vorticity in the upper troposphere becomes small over Syowa Station. This fact implies that tropospheric disturbances affect the dynamical processes of gravity waves there. However, the gravity wave energy in the height region of 15-25 km shows clear seasonal variation having a maximum in spring. The time variation in gravity wave energy is examined in detail in terms of the polar vortex by using the equivalent latitude coordinate. Energy enhancements occur when the edge of the polar vortex approaches Syowa Station, and the enhancements are especially large when the polar vortex breaks down in spring. These results suggest that height variation in the background atmosphere leads to the difference of wave characteristics between the two height regions. The enhancements of wave energy are partly explained as modification of the wave structure by the background wind speed and the static stability, but it is also likely that enhancements of wave activity contribute to the energy enhancement at the edge of the polar vortex in spring.</t>
  </si>
  <si>
    <t>Kyoto Univ, Fac Sci, Dept Geophys, Kyoto, Japan; Japan Meteorol Agcy, Tokyo 1008122, Japan; Natl Inst Polar Res, Tokyo 1738515, Japan</t>
  </si>
  <si>
    <t>Kyoto University; Japan Meteorological Agency; Research Organization of Information &amp; Systems (ROIS); National Institute of Polar Research (NIPR) - Japan</t>
  </si>
  <si>
    <t>Natl Inst Environm Studies, Tsukuba, Ibaraki 3058506, Japan.</t>
  </si>
  <si>
    <t>yoshiki.motoyoshi@nies.go.jp; kaoru@nipr.ac.jp</t>
  </si>
  <si>
    <t>Satoh, Kaoru/P-2047-2015; Sato, Kaoru/E-1693-2012</t>
  </si>
  <si>
    <t>Sato, Kaoru/0000-0002-6225-6066</t>
  </si>
  <si>
    <t>DEC 4</t>
  </si>
  <si>
    <t>D23104</t>
  </si>
  <si>
    <t>10.1029/2004JD004870</t>
  </si>
  <si>
    <t>877QL</t>
  </si>
  <si>
    <t>WOS:000225585000004</t>
  </si>
  <si>
    <t>Bradshaw, CJA; Hindell, MA; Sumner, MD; Michael, KJ</t>
  </si>
  <si>
    <t>Loyalty pays: potential life history consequences of fidelity to marine foraging regions by southern elephant seals</t>
  </si>
  <si>
    <t>ANIMAL BEHAVIOUR</t>
  </si>
  <si>
    <t>ANTARCTIC FUR SEALS; MIROUNGA-LEONINA; SURFACE TEMPERATURES; SPATIAL-DISTRIBUTION; MOVEMENTS; SCALE; PENGUINS; ECOLOGY; FRONTS; IMMOBILIZATION</t>
  </si>
  <si>
    <t>Choices made by foraging animals should maximize energy intake, although 'irrational' short-term behaviours are common. One explanation for this is that environmental variation may lead to the evolution of behaviours that benefit individual reproductive output, but only over long timescales. Longterm (multiyear) fidelity to foraging regions in extremely variable environments may confer ecological benefits to individuals, such as familiarity with resources, even when energy gain is not consistently high in all years. We examined the annual foraging ranges (sometimes exceeding 3.5 million km(2)) of female southern elephant seals, Mirounga leonina, over 4 years and found that individuals used preferred regions year after year. We hypothesized that the degree of fidelity in a particular year was related to the foraging success (a measured by mass gain) in the previous year; however, there was no significant relation between the two. Despite this high variation in annual foraging success, the regions revisited in consecutive years provided higher potential food production as measured by higher variance in sea surface temperatures over two decades (a surrogate measure of ocean productivity). The evolution of long-term fidelity assisted by simple navigational rules may confer energetic advantages over an individual's lifetime and explain the existence of seemingly nonadaptive short-term behaviours. (C) 2004 The Association for the Study of Animal Behaviour Published by Elsevier Ltd. All rights reserved.</t>
  </si>
  <si>
    <t>Univ Tasmania, Antarctic Wildlife Res Unit, Sch Zool, Hobart, Tas 7001, Australia; Univ Tasmania, Antarctic Cooperat Res Ctr, Hobart, Tas 7001, Australia; Univ Tasmania, Inst Antarctic &amp; So Ocean Studies, Hobart, Tas 7001, Australia</t>
  </si>
  <si>
    <t>University of Tasmania; University of Tasmania; University of Tasmania</t>
  </si>
  <si>
    <t>Charles Darwin Univ, Key Ctr Trop Wildlife Management, Darwin, NT 0909, Australia.</t>
  </si>
  <si>
    <t>corey.bradshaw@cdu.edu.au</t>
  </si>
  <si>
    <t>Hindell, Mark A/C-8368-2013; Bradshaw, Corey J. A./A-1311-2008; Hindell, Mark A/K-1131-2013; Sumner, Michael D/J-3478-2013; Michael, Kelvin/J-7217-2014</t>
  </si>
  <si>
    <t>Bradshaw, Corey J. A./0000-0002-5328-7741; Hindell, Mark/0000-0002-7823-7185; Sumner, Michael/0000-0002-2471-7511; Michael, Kelvin/0000-0002-5427-7393</t>
  </si>
  <si>
    <t>ACADEMIC PRESS LTD- ELSEVIER SCIENCE LTD</t>
  </si>
  <si>
    <t>24-28 OVAL RD, LONDON NW1 7DX, ENGLAND</t>
  </si>
  <si>
    <t>0003-3472</t>
  </si>
  <si>
    <t>1095-8282</t>
  </si>
  <si>
    <t>ANIM BEHAV</t>
  </si>
  <si>
    <t>Anim. Behav.</t>
  </si>
  <si>
    <t>DEC</t>
  </si>
  <si>
    <t>10.1016/j.anbehav.2003.12.013</t>
  </si>
  <si>
    <t>Behavioral Sciences; Zoology</t>
  </si>
  <si>
    <t>885NP</t>
  </si>
  <si>
    <t>WOS:000226164500013</t>
  </si>
  <si>
    <t>Llorens, L; Peñuelas, J; Estiarte, M; Bruna, P</t>
  </si>
  <si>
    <t>Contrasting growth changes in two dominant species of a Mediterranean shrubland submitted to experimental drought and warming</t>
  </si>
  <si>
    <t>ANNALS OF BOTANY</t>
  </si>
  <si>
    <t>biomass; climate change; drought; Erica multiflora; Globularia alypum; growth; Mediterranean species; warming</t>
  </si>
  <si>
    <t>ANTARCTIC VASCULAR PLANTS; CO2 CONCENTRATION; ERICA-MULTIFLORA; CLIMATE-CHANGE; LONG-TERM; RESPONSES; TEMPERATURE; PHENOLOGY; FOREST; TUNDRA</t>
  </si>
  <si>
    <t>Background and Aims Climate projections predict drier and warmer conditions in the Mediterranean basin in the next decades. The possibility of such climatic changes modifying the growth of two Mediterranean species, Erica multiflora and Globularia alypum, which are common components of Mediterranean shrublands, was assessed. Methods A field experiment was performed from March 1999 to March 2002 to prolong the drought period and to increase the night-time temperature in a Mediterranean shrubland, where E. multiflora and G. alypum are the dominant species. Annual growth in stem diameter and length of both species was measured and annual stem biomass production was estimated for 1999, 2000 and 2001. Plant seasonal growth was also assessed. Key Results On average, drought treatment reduced soil moisture 22%, and warming increased temperature by 0(.)7-1(.)6degreesC. Erica multiflora plants in the drought treatment showed a 46% lower annual stem elongation than controls. The decrease in water availability also reduced by 31% the annual stem diameter increment and by 43% the annual stem elongation of G. alypum plants. New shoot growth of G. alypum was also strongly reduced. Allometrically estimated biomass production was decreased by drought in both species. Warming treatment produced contrasting effects on the growth patterns of these species. Warmer conditions increased, on average, the stem basal diameter growth of E. multiflora plants by 35%, raising also their estimated stem biomass production. On the contrary, plants of G. alypum in the warming treatment showed a 14% lower annual stem growth in basal diameter and shorter new shoots in spring compared with controls. Conclusions The results indicate changes in the annual productivity of these Mediterranean shrubs under near future drier and warmer conditions. They also point to alterations in their competitive abilities, which could lead to changes in the species composition of these ecosystems in the long term. (C) 2004 Annals of Botany Company.</t>
  </si>
  <si>
    <t>Univ Autonoma Barcelona, CREAF, Unitat Ecofisiol, CSIC,CEAB, E-08193 Barcelona, Spain</t>
  </si>
  <si>
    <t>University of Barcelona; Consejo Superior de Investigaciones Cientificas (CSIC); CSIC - Centre d'Estudis Avancats de Blanes (CEAB); Centro de Investigacion Ecologica y Aplicaciones Forestales (CREAF-CERCA); Autonomous University of Barcelona</t>
  </si>
  <si>
    <t>Univ Autonoma Barcelona, CREAF, Unitat Ecofisiol, CSIC,CEAB, Edifici C, E-08193 Barcelona, Spain.</t>
  </si>
  <si>
    <t>l.llorens@sheffield.ac.uk</t>
  </si>
  <si>
    <t>Penuelas, Josep/D-9704-2011; Llorens, Laura/ABH-2383-2020; Estiarte, Marc/G-2001-2016</t>
  </si>
  <si>
    <t>Penuelas, Josep/0000-0002-7215-0150; Llorens, Laura/0000-0001-9190-5144; Bruna Perez, Paula/0000-0001-8345-1664; Estiarte, Marc/0000-0003-1176-8480</t>
  </si>
  <si>
    <t>0305-7364</t>
  </si>
  <si>
    <t>1095-8290</t>
  </si>
  <si>
    <t>ANN BOT-LONDON</t>
  </si>
  <si>
    <t>Ann. Bot.</t>
  </si>
  <si>
    <t>10.1093/aob/mch211</t>
  </si>
  <si>
    <t>Plant Sciences</t>
  </si>
  <si>
    <t>879GD</t>
  </si>
  <si>
    <t>WOS:000225703500009</t>
  </si>
  <si>
    <t>Fahrbach, E</t>
  </si>
  <si>
    <t>The role of the Southern Ocean in global processes</t>
  </si>
  <si>
    <t>ANTARCTIC SCIENCE</t>
  </si>
  <si>
    <t>Editorial Material</t>
  </si>
  <si>
    <t>CAMBRIDGE UNIV PRESS</t>
  </si>
  <si>
    <t>40 WEST 20TH ST, NEW YORK, NY 10011-4211 USA</t>
  </si>
  <si>
    <t>0954-1020</t>
  </si>
  <si>
    <t>ANTARCT SCI</t>
  </si>
  <si>
    <t>Antarct. Sci.</t>
  </si>
  <si>
    <t>10.1017/S0954102004002342</t>
  </si>
  <si>
    <t>Environmental Sciences; Geography, Physical; Geosciences, Multidisciplinary</t>
  </si>
  <si>
    <t>Environmental Sciences &amp; Ecology; Physical Geography; Geology</t>
  </si>
  <si>
    <t>884BY</t>
  </si>
  <si>
    <t>WOS:000226060800001</t>
  </si>
  <si>
    <t>Busalacchi, AJ</t>
  </si>
  <si>
    <t>The role of the Southern Ocean in global processes: an earth system science approach</t>
  </si>
  <si>
    <t>carbon cycle; climate variability; global change; marine ecosystem; ocean circulation; physical climate system; sea ice</t>
  </si>
  <si>
    <t>SEA-ICE</t>
  </si>
  <si>
    <t>The Southern Ocean is unique among the world's oceans in its linkage across the other major ocean basins, its rich and unusual marine ecosystem, and its interaction between the physical climate system and the biogeochemistry of the region. This paper provides an overview and conclusions of a meeting at the Royal Society in London in which an Earth System Science approach was taken to our present and future understanding of the Southern Ocean. A brief summary of what Southern Ocean science has achieved to date, challenges that need to be confronted, and the key questions for the future within an Earth System Science approach are provided.</t>
  </si>
  <si>
    <t>Univ Maryland, Earth Syst Sci Interdisciplinary Ctr, College Pk, MD 20742 USA</t>
  </si>
  <si>
    <t>University System of Maryland; University of Maryland College Park</t>
  </si>
  <si>
    <t>Univ Maryland, Earth Syst Sci Interdisciplinary Ctr, College Pk, MD 20742 USA.</t>
  </si>
  <si>
    <t>32 AVENUE OF THE AMERICAS, NEW YORK, NY 10013-2473 USA</t>
  </si>
  <si>
    <t>1365-2079</t>
  </si>
  <si>
    <t>10.1017/S0954102004002196</t>
  </si>
  <si>
    <t>WOS:000226060800002</t>
  </si>
  <si>
    <t>Mackensen, A</t>
  </si>
  <si>
    <t>Changing Southern Ocean palaeocirculation and effects on global climate</t>
  </si>
  <si>
    <t>Antarctic Circumpolar Current; Eocence/Oligocene transition; late Pleistocene; middle Miocene; palaeoceanography</t>
  </si>
  <si>
    <t>ANTARCTIC ICE-SHEET; DEEP-WATER CIRCULATION; ATLANTIC THERMOHALINE CIRCULATION; SEA-ICE; ATMOSPHERIC CO2; NORTH-ATLANTIC; GLACIAL OCEAN; ISOTOPE STRATIGRAPHY; CENOZOIC GLACIATION; CONTINENTAL-MARGIN</t>
  </si>
  <si>
    <t>Southern Ocean palaeocirculation is clearly related to the formation of a continental ice sheet on Antarctica and the opening of gateways between Antarctica and the Australian and South American continents. Palaeoenvironmental proxy records from Southern Ocean sediment cores suggest ice growth on Antarctica beginning by at least 40 million years (Ma) ago, and the opening of Tasmania-Antarctic and Drake Passages to deep-water flow around 34 and 31 +/- 2 Ma, respectively. So, the Eocene/Oligocene transition appears to mark the initiation of the Antarctic Circumpolar Current and thus the onset of thermal isolation of Antarctica with a first major ice volume growth on East Antarctic. There is no evidence for a significant cooling of the deep ocean associated with this rapid (&lt; 350 000 years) continental ice build-up. After a long phase with frequent ice sheets growing and decaying, in the middle Miocene at about 14 Ma, a re-establishment of an ice sheet on East Antarctica and the Pacific margin of West Antarctica was associated with an increased southern bottom water formation, and a slight cooling of the deep ocean, but with no permanent drop in atmospheric pCO(2). During the late Pleistocene on orbital time scales a temporal correlation between changes in atmospheric pCO(2) and proxy records of deep ocean temperatures, continental ice volume, sea ice extension, and deep-water nutrient contents is documented. I discuss hypotheses that call for a dominant control of glacial to interglacial atmospheric pCO(2) variations by Southern Ocean circulation dynamics. Millennial to centennial climate variability is a global feature, but there is contrasting evidence from various palaeoclimate archives that indicate both interhemispheric synchrony and asynchrony. The role of the Southern Ocean, however, in triggering or modulating climate variability on these time scales only recently received some attention and is not yet adequately investigated.</t>
  </si>
  <si>
    <t>Alfred Wegener Inst Polar &amp; Marine Res, Postfach 12 01 61, D-27515 Bremerhaven, Germany.</t>
  </si>
  <si>
    <t>amackensen@awi-bremerhaven.de</t>
  </si>
  <si>
    <t>Mackensen, Andreas/J-8600-2013</t>
  </si>
  <si>
    <t>Mackensen, Andreas/0000-0002-5024-4455</t>
  </si>
  <si>
    <t>10.1017/S0954102004002202</t>
  </si>
  <si>
    <t>WOS:000226060800003</t>
  </si>
  <si>
    <t>Parkinson, CL</t>
  </si>
  <si>
    <t>Southern Ocean sea ice and its wider linkages: insights revealed from models and observations</t>
  </si>
  <si>
    <t>climate; climate change; polar amplification; remote sensing; sea ice; Southern Ocean</t>
  </si>
  <si>
    <t>INCREASING CARBON-DIOXIDE; GLOBAL CLIMATE MODEL; CIRCUMPOLAR WAVE; ATMOSPHERE MODEL; INCREASED CO2; VARIABILITY; CIRCULATION; SENSITIVITY; TRENDS; ASYMMETRY</t>
  </si>
  <si>
    <t>Early conceptual models and global climate model (GCM) simulations both indicated the likelihood of an enhanced sensitivity to climate change in the polar regions, derived from the positive feedbacks brought about by snow and ice. As GCMs developed, however, the expected enhanced sensitivity has been more robust in the North Polar Region than the South Polar Region. Some recent increased-CO2 simulations, for instance, show little change in Southern Ocean sea ice extent and thickness and much less warming in the Southern Ocean region than in the sea ice regions of the Northern Hemisphere. Observations show a highly variable Southern Ocean ice cover that decreased significantly in the 1970s but, overall, has increased since the late 1970s. The increases are non-uniform, and in fact decreases occurred in the last three years of the 1979-2002 satellite record highlighted here. Regionally, the positive trends since the late 1970s are strongest in the Ross Sea, while the trends are negative in the Bellingshausen and Amundsen seas, a pattern that appears in greater spatial detail in maps of trends in the length of the sea ice season. These patterns correspond well with patterns of temperature trends, but there is a substantial way to go before they are understood (and can be modelled) in the full context of global change.</t>
  </si>
  <si>
    <t>NASA, Goddard Space Flight Ctr, Ocean &amp; Ice Branch, Greenbelt, MD 20771 USA</t>
  </si>
  <si>
    <t>National Aeronautics &amp; Space Administration (NASA); NASA Goddard Space Flight Center</t>
  </si>
  <si>
    <t>NASA, Goddard Space Flight Ctr, Ocean &amp; Ice Branch, Code 971, Greenbelt, MD 20771 USA.</t>
  </si>
  <si>
    <t>Claire.L.Parkinson@nasa.gov</t>
  </si>
  <si>
    <t>Parkinson, Claire/JAC-7676-2023; Parkinson, Claire L/E-1747-2012</t>
  </si>
  <si>
    <t>Parkinson, Claire/0000-0001-6730-4197; Parkinson, Claire L/0000-0001-6730-4197</t>
  </si>
  <si>
    <t>10.1017/S0954102004002214</t>
  </si>
  <si>
    <t>WOS:000226060800004</t>
  </si>
  <si>
    <t>Simmonds, I; King, JC</t>
  </si>
  <si>
    <t>Global and hemispheric climate variations affecting the Southern Ocean</t>
  </si>
  <si>
    <t>air-sea fluxes; atmosphere-ocean kinetic energy transfer; extratropical cyclones; freshwater budget; Pacific-South American pattern; Southern Annular Mode</t>
  </si>
  <si>
    <t>ANTARCTIC SEA-ICE; EXTRATROPICAL CYCLONE BEHAVIOR; NUMERICAL WEATHER PREDICTION; LOW-FREQUENCY VARIABILITY; NCEP-NCAR REANALYSIS; SEMIANNUAL OSCILLATION; ANNULAR MODES; INTERANNUAL VARIATIONS; CIRCUMPOLAR CURRENT; BELLINGSHAUSEN SEA</t>
  </si>
  <si>
    <t>The hemispheric and regional atmospheric circulation influences the Southern Ocean in many and profound ways, including intense air-sea fluxes of momentum, energy, fresh water and dissolved gases. The Southern Ocean ventilates a large fraction of the world ocean and hence these influences are spread globally. We use the NCEP-2 reanalysis data set to diagnose aspects of the large-scale atmospheric structure and variability and explore how these impact on the Southern Ocean. We discuss how the 'Southern Annular Mode' and the 'Pacific-South American' pattern influence the Southern Ocean, particularly in the eastern Pacific. We review the importance of atmospheric eddies in Southern Ocean climate, and the role they play in the transport of mechanical energy into the ocean. The fluxes of fresh water across the air-sea boundary influence strongly the processes of water mass formation. It is shown that climatological precipitation exceeds evaporation over most of the Southern Ocean. When averaged over the ocean from 50degreesS to the Antarctic coast the annual mean excess is 0.80 mm day(-1). The magnitude of the flux displays only a small measure of seasonality, and its largest value of 0.92 mm day(-1) occurs in summer.</t>
  </si>
  <si>
    <t>Univ Melbourne, Sch Earth Sci, Parkville, Vic 3052, Australia; British Antarctic Survey, NERC, Cambridge CB3 0ET, England</t>
  </si>
  <si>
    <t>University of Melbourne; UK Research &amp; Innovation (UKRI); Natural Environment Research Council (NERC); NERC British Antarctic Survey</t>
  </si>
  <si>
    <t>Univ Melbourne, Sch Earth Sci, Parkville, Vic 3052, Australia.</t>
  </si>
  <si>
    <t>simmonds@unimelb.edu.au</t>
  </si>
  <si>
    <t>Simmonds, Ian/0000-0002-4479-3255</t>
  </si>
  <si>
    <t>10.1017/S0954102004002226</t>
  </si>
  <si>
    <t>WOS:000226060800005</t>
  </si>
  <si>
    <t>Yuan, XJ</t>
  </si>
  <si>
    <t>ENSO-related impacts on Antarctic sea ice: a synthesis of phenomenon and mechanisms</t>
  </si>
  <si>
    <t>heat flux; jet stream; meridional circulation; Rossby Wave; the Southern Hemisphere; teleconnection</t>
  </si>
  <si>
    <t>SOUTHERN-HEMISPHERE CIRCULATION; LOW-FREQUENCY VARIABILITY; SURFACE-TEMPERATURE; SYNOPTIC ASPECTS; SPLIT JET; PACIFIC; CLIMATE; REANALYSIS; BLOCKING; OSCILLATION</t>
  </si>
  <si>
    <t>Many remote and local climate variabilities influence Antarctic sea ice at different time scales. The strongest sea ice teleconnection at the interannual time scale was found between El Nino-Southern Oscillation (ENSO) events and a high latitude climate mode named the Antarctic Dipole. The Antarctic Dipole is characterized by an out-of-phase relationship between sea ice and surface temperature anomalies in the South Pacific and South Atlantic, manifesting itself and persisting 3-4 seasons after being triggered by the ENSO forcing. This study examines the life cycles of ENSO warm and cold events in the tropics and associated evolution of the ADP in high latitudes of the Southern Hemisphere. In evaluating the mechanisms that form the ADP, the study suggests a synthesized scheme that links these high latitude processes with ENSO teleconnection in both the Pacific and Atlantic basins. The synthesized scheme suggests that the two main mechanisms responsible for the formation/maintenance of the Antarctic Dipole are the heat flux due to the mean meridional circulation of the regional Ferrel Cell and regional anomalous circulation generated by stationary eddies. The changes in the Hadley Cell, the jet stream in the subtropics, and the Rossby Wave train associated with ENSO link the tropical forcing to these high latitude processes. Moreover, these two mechanisms operate in phase and are comparable in magnitude. The positive feedback between the jet stream and stationary eddies in the atmosphere, the positive feedback within the air-sea-ice system, and the seasonality all reinforce the anomalies, resulting in persistent Antarctic Dipole anomalies.</t>
  </si>
  <si>
    <t>Columbia Univ, Lamont Doherty Geol Observ, Palisades, NY 10964 USA</t>
  </si>
  <si>
    <t>Columbia Univ, Lamont Doherty Geol Observ, 61 Rte 9W, Palisades, NY 10964 USA.</t>
  </si>
  <si>
    <t>xuan@ldeo.columbia.edu</t>
  </si>
  <si>
    <t>Yuan, Xiaojun/J-1460-2014</t>
  </si>
  <si>
    <t>Yuan, Xiaojun/0000-0002-6530-1619</t>
  </si>
  <si>
    <t>10.1017/S0954102004002238</t>
  </si>
  <si>
    <t>Green Submitted</t>
  </si>
  <si>
    <t>WOS:000226060800006</t>
  </si>
  <si>
    <t>Jacobs, SS</t>
  </si>
  <si>
    <t>Bottom water production and its links with the thermohaline circulation</t>
  </si>
  <si>
    <t>Antarctic; seawater density; slope front; Southern Ocean; water masses; water properties</t>
  </si>
  <si>
    <t>SOUTHERN WEDDELL SEA; ANTARCTIC SLOPE FRONT; ICE SHELF WATER; ROSS-SEA; DEEP-WATER; ABYSSAL CIRCULATION; HYDROGRAPHIC DATA; VEMA CHANNEL; ADELIE LAND; WORLD OCEAN</t>
  </si>
  <si>
    <t>For more than a century it has been known that the abyssal basins of the world ocean are primarily occupied by relatively cold and fresh waters that originate in the Southern Ocean. Their distinguishing characteristics are acquired by exposure of surface and shelf waters to 'ventilation' by the polar atmosphere and to the melting and freezing of ice over and near the Antarctic continental shelf. Subsequent mixing with deep water over the continental slope results in 'Bottom Water' that forms the southern sinking limb of the global 'Thermohaline Circulation.' Over recent decades, oceanographers have wrestled with a variety of bottom water and thermohaline circulation problems, ranging from basic definitions to forcing and formation sites, source components and properties, generation processes and rates, mixing and sinking, pathways and transports. A brief review of these efforts indicates both advances and anomalies in our understanding of Antarctic Bottom Water production and circulation. Examples from ongoing work illustrate increasing interest in the temporal variability of bottom water in relation to climate change.</t>
  </si>
  <si>
    <t>Columbia Univ, Lamont Doherty Geol Observ, Palisades, NY 10964 USA.</t>
  </si>
  <si>
    <t>sjacobs@ldeo.columbia.edu</t>
  </si>
  <si>
    <t>10.1017/S095410200400224X</t>
  </si>
  <si>
    <t>WOS:000226060800007</t>
  </si>
  <si>
    <t>Olbers, D; Borowski, D; Völker, C; Wölff, JO</t>
  </si>
  <si>
    <t>The dynamical balance, transport and circulation of the Antarctic Circumpolar Current</t>
  </si>
  <si>
    <t>ACC; Southern Ocean; form stress; meridional overturning; transient and standing eddies</t>
  </si>
  <si>
    <t>OCEAN GENERAL-CIRCULATION; MOMENTUM BALANCE; SOUTHERN-OCEAN; EDDY TRANSFER; PART I; MODEL; DRIVEN; VARIABILITY; THERMOHALINE; EDDIES</t>
  </si>
  <si>
    <t>The physical elements of the circulation of the Antarctic Circumpolar Current (ACC) are reviewed. A picture of the circulation is sketched by means of recent observations from the WOCE decade. We present and discuss the role of forcing functions (wind stress, surface buoyancy flux) in the dynamical balance of the flow and in the meridional circulation and study their relation to the ACC transport. The physics of form stress at tilted isopycnals and at the ocean bottom are elucidated as central mechanisms in the momentum balance. We explain the failure of the Sverdrup balance in the ACC circulation and highlight the role of geostrophic contours in the balance of vorticity. Emphasis is on the interrelation of the zonal momentum balance and the meridional circulation, the importance of diapycnal mixing and eddy processes. Finally, new model concepts are described: a model of the ACC transport dependence on wind stress and buoyancy flux, based on linear wave theory; and a model of the meridional overturning and the mean density structure of the Southern Ocean, based on zonally averaged dynamics and thermodynamics with eddy parametrization.</t>
  </si>
  <si>
    <t>Alfred Wegener Inst Polar &amp; Marine Res, D-27515 Bremerhaven, Germany; Carl von Ossietzky Univ Oldenburg, ICBM, D-26111 Oldenburg, Germany</t>
  </si>
  <si>
    <t>Helmholtz Association; Alfred Wegener Institute, Helmholtz Centre for Polar &amp; Marine Research; Carl von Ossietzky Universitat Oldenburg</t>
  </si>
  <si>
    <t>Alfred Wegener Inst Polar &amp; Marine Res, D-27515 Bremerhaven, Germany.</t>
  </si>
  <si>
    <t>dolbers@awi-bremerhaven.de</t>
  </si>
  <si>
    <t>Voelker, Christoph/I-7891-2012; Wolff, Joerg-Olaf/F-8248-2010</t>
  </si>
  <si>
    <t>Voelker, Christoph/0000-0003-3032-114X; Wolff, Joerg-Olaf/0000-0001-7037-7688</t>
  </si>
  <si>
    <t>10.1017/S0954102004002251</t>
  </si>
  <si>
    <t>WOS:000226060800008</t>
  </si>
  <si>
    <t>Arrigo, KR; Thomas, DN</t>
  </si>
  <si>
    <t>Large scale importance of sea ice biology in the Southern Ocean</t>
  </si>
  <si>
    <t>algae; Antarctic; biogeochemistry; carbon cycle; primary production</t>
  </si>
  <si>
    <t>ANTARCTIC PACK-ICE; KRILL EUPHAUSIA-SUPERBA; PHOTOSYNTHESIS-IRRADIANCE RELATIONSHIPS; POLYUNSATURATED FATTY-ACIDS; MICROBIAL COMMUNITIES SIMCO; DENSE MICROALGAL BLOOM; LAND-FAST ICE; MCMURDO-SOUND; AMINO-ACIDS; ROSS SEA</t>
  </si>
  <si>
    <t>Despite being one of the largest biomes on earth, sea ice ecosystems have only received intensive study over the past 30 years. Sea ice is a unique habitat for assemblages of bacteria, algae, protists, and invertebrates that grow within a matrix dominated by strong gradients in temperature, salinity, nutrients, and UV and visible radiation. A suite of physiological adaptations allow these organisms to thrive in ice, where their enormous biomass makes them a fundamental component of polar ecosystems. Sea ice algae are an important energy and nutritional source for invertebrates such as juvenile krill, accounting for up to 25% of total annual primary production in ice-covered waters. The ability of ice algae to produce large amounts of UV absorbing compounds such as mycosporine-like amino acids makes them even more important to organisms like krill that can incorporate these sunscreens into their own tissues. Furthermore, the nutrient and light conditions in which sea ice algae thrive induce them to synthesize enhanced concentrations of polyunsaturated fatty acids, a vital constituent of the diet of grazing organisms, especially during winter. Finally, sea ice bacteria and algae have become the focus of biotechnology, and are being considered as proxies of possible life forms on ice-covered extraterrestrial systems. An analysis of how the balance between sea ice and pelagic production might change under a warming scenario indicates that when current levels of primary production and changes in the areas of sea ice habitats are taken into account, the expected 25% loss of sea ice over the next century would increase primary production in the Southern Ocean by approximately 10%, resulting in a slight negative feedback on climate warming.</t>
  </si>
  <si>
    <t>Stanford Univ, Dept Geophys, Stanford, CA 94305 USA; Univ Wales, Sch Ocean Sci, Menai Bridge LL59 5AB, Anglesey, Wales</t>
  </si>
  <si>
    <t>Stanford University</t>
  </si>
  <si>
    <t>Stanford Univ, Dept Geophys, Stanford, CA 94305 USA.</t>
  </si>
  <si>
    <t>arrigo@stanford.edu</t>
  </si>
  <si>
    <t>Thomas, David Neville/B-1448-2010</t>
  </si>
  <si>
    <t>Thomas, David Neville/0000-0001-8832-5907; Arrigo, Kevin/0000-0002-7364-876X</t>
  </si>
  <si>
    <t>10.1017/S0954102004002263</t>
  </si>
  <si>
    <t>WOS:000226060800009</t>
  </si>
  <si>
    <t>Hofmann, EE; Murphy, EJ</t>
  </si>
  <si>
    <t>Advection, krill, and Antarctic marine ecosystems</t>
  </si>
  <si>
    <t>Antarctic krill; advection; ecosystem; Southern Ocean; transport</t>
  </si>
  <si>
    <t>EUPHAUSIA-SUPERBA DANA; CALANUS-FINMARCHICUS POPULATIONS; CIRCUMPOLAR CURRENT FRONT; SOUTHERN-OCEAN; GEORGES BANK; BIOLOGICAL PROCESSES; COMMUNITY STRUCTURE; VERTICAL MIGRATION; GENETIC-VARIATION; WATER MASSES</t>
  </si>
  <si>
    <t>Advective processes are recognized as being important in structuring and maintaining marine ecosystems. In the Southern Ocean advective effects are perhaps most clearly observed because the Antarctic Circumpolar Current (ACC) provides a connection between most parts of the system, including open ocean and continental shelf regions. The ACC also provides a mechanism for large-scale transport of plankton, such as Antarctic krill (Euphousia superba Dana), which is an important component of the Southern Ocean food web. This overview provides a summary of recent observational and modelling results that consider the importance of advection to the Southern Ocean ecosystem and, in particular, the role of advection in structuring the large-scale distribution of Antarctic krill. The results of these studies show that advection is a dominant process controlling Antarctic krill distribution and by inference an important process affecting overall structure and production of the Southern Ocean food web. The overview shows that quantifying the roles of advective and retentive physical processes, and population dynamic and behavioural biological processes in determining the regional and local distribution of krill and abundance will be an important research focus. Strategies for future Antarctic multidisciplinary research programmes that are focused on understanding advective processes at a circumpolar scale are Suggested.</t>
  </si>
  <si>
    <t>Old Dominion Univ, Ctr Coastal Phys Oceanog, Norfolk, VA 23529 USA; British Antarctic Survey, NERC, Cambridge CB3 0ET, England</t>
  </si>
  <si>
    <t>Old Dominion University; UK Research &amp; Innovation (UKRI); Natural Environment Research Council (NERC); NERC British Antarctic Survey</t>
  </si>
  <si>
    <t>Old Dominion Univ, Ctr Coastal Phys Oceanog, Crittenton Hall, Norfolk, VA 23529 USA.</t>
  </si>
  <si>
    <t>hofmann@ccpo.odu.edu</t>
  </si>
  <si>
    <t>murphy, eugene/GZL-1620-2022</t>
  </si>
  <si>
    <t>10.1017/S0954102004002275</t>
  </si>
  <si>
    <t>WOS:000226060800010</t>
  </si>
  <si>
    <t>Honjo, S</t>
  </si>
  <si>
    <t>Particle export and the biological pump in the Southern Ocean</t>
  </si>
  <si>
    <t>Antarctica; biogenic silica; export fluxes; particulate organic carbon; sediment trap</t>
  </si>
  <si>
    <t>PARTICULATE ORGANIC-CARBON; PACIFIC SECTOR; ARABIAN SEA; ROSS SEA; BIOGENIC SILICA; NORTH-ATLANTIC; ICE-ZONE; FLUXES; INTERIOR; DIATOM</t>
  </si>
  <si>
    <t>The organic carbon particle export to the interior layers in the Southern Ocean in the New Zealand-Tasmania Sector was approximately 170 mmolC m(-2) yr(-1). The export of particulate inorganic carbon in CaCO3 was 110 mmolC m(-2) yr(-1) and was contributed mostly by pteropods shells in the Antarctic Zones. The Si flux from biogenic opal at the sub-Antarctic Zone was 67 mmolSi m(-2) yr(-1) and rapidly increased to the south up to nearly 1 molSi m(-2) yr(-1) in the Antarctic Zone. The Antarctic Polar Front clearly demarcated the area where the biological pump was driven by CaCO3 to the north and biogenic SiO2 particle export to the south. Summer stratification caused by the sub-zero winter water layer in the Seasonal fee Zone (SIZ) curtails the zooplankton community and hinders the replenishment of Fe. This hypothesis explains the large organic carbon export with large f- and export ratios at the SIZ and extremely large opal production at the Antarctic Circumpolar Zone. Estimated regeneration rate of CO2 from the export production and settling particulate fluxes of organic carbon in the water column between 100 m to 1 km was about 13 mmolC m(-2) d(-1) in the Antarctic Zone and Polar Frontal Zone.</t>
  </si>
  <si>
    <t>Woods Hole Oceanog Inst, Woods Hole, MA 02543 USA</t>
  </si>
  <si>
    <t>Woods Hole Oceanographic Institution</t>
  </si>
  <si>
    <t>Woods Hole Oceanog Inst, Mail Stop 39, Woods Hole, MA 02543 USA.</t>
  </si>
  <si>
    <t>shonjo@whoi.edu</t>
  </si>
  <si>
    <t>10.1017/S0954102004002287</t>
  </si>
  <si>
    <t>WOS:000226060800011</t>
  </si>
  <si>
    <t>Liss, PS; Chuck, AL; Turner, SM; Watson, AJ</t>
  </si>
  <si>
    <t>Air-sea gas exchange in Antarctic waters</t>
  </si>
  <si>
    <t>alkyl nitrates; carbon dioxide; dimethyl sulphide; mass transfer; organo-halogens; transfer velocity</t>
  </si>
  <si>
    <t>ATMOSPHERIC SULFUR; CARBON-DIOXIDE; WIND-SPEED; OCEAN; NITROGEN; AEROSOLS; ATLANTIC; PACIFIC; RATES; DMS</t>
  </si>
  <si>
    <t>The flux of gases between the atmosphere and the oceans can be calculated from the product of the concentration difference across the sea surface and a kinetic term, often called a transfer velocity. The transfer velocity is frequently parameterized in terms of wind speed, although the actual exchange process is also affected by waves, bubbles, wind fetch, and less certainly by surfactants and chemical reactivity. There is currently an uncertainty of about a factor of two in using the wind speed parameterization. In view of the windiness of the Southern Ocean, transfer velocities will often be high, although there are few published in situ measurements of transfer rates made in the region. Data for gas concentration fields in the Southern Ocean are generally sparse compared to other better studied oceanic areas. In this paper we discuss what is known for the region for carbon dioxide, including the oceanic sink for man-made inputs to the atmosphere; dimethyl sulphide, where there appears to be a substantial source, which has the potential for a significant climatic effect due to the low particulate loading in the region; and organo-halogen and alkyl nitrate gases, where marine emissions may play an important role in controlling the oxidation capacity of the Antarctic atmosphere.</t>
  </si>
  <si>
    <t>Univ E Anglia, Sch Environm Sci, Norwich NR4 7TJ, Norfolk, England</t>
  </si>
  <si>
    <t>University of East Anglia</t>
  </si>
  <si>
    <t>Univ E Anglia, Sch Environm Sci, Norwich NR4 7TJ, Norfolk, England.</t>
  </si>
  <si>
    <t>p.liss@uea.ac.uk</t>
  </si>
  <si>
    <t>LISS, Peter S./A-8219-2013</t>
  </si>
  <si>
    <t>Watson, Andrew/0000-0002-9654-8147</t>
  </si>
  <si>
    <t>Natural Environment Research Council [NER/G/S/2003/00024] Funding Source: researchfish</t>
  </si>
  <si>
    <t>10.1017/S0954102004002299</t>
  </si>
  <si>
    <t>WOS:000226060800012</t>
  </si>
  <si>
    <t>Smith, WO; Lancelot, C</t>
  </si>
  <si>
    <t>Bottom-up versus top-down control in phytoplankton of the Southern Ocean</t>
  </si>
  <si>
    <t>Antarctic; functional group; HNLC systems; iron; irradiance; regulation</t>
  </si>
  <si>
    <t>MICROBIAL FOOD-WEB; COMMUNITY STRUCTURE; EQUATORIAL PACIFIC; IRON FERTILIZATION; BLOOM; SEA; GROWTH; WATERS; SIZE; CONSEQUENCES</t>
  </si>
  <si>
    <t>Oceanic phytoplankton communities are a mixture of various algal functional groups, all of which are of different sizes, have variable physiologies, and interact differently with disparate herbivores. We suggest that polar plankton communities, and specifically the larger phytoplankton of Southern Ocean HNLC (high nutrient, low chlorophyll) systems, are controlled primarily by bottorn-Up processes, but that smaller (pico- and nanoplankton) reach an equilibrium that is set simultaneously by light, iron and grazing by microzooplankton. Thus Southern Ocean phytoplankton conforms to the ecumenical iron hypothesis, albeit with the further addition of light as an environmental control. Examples of bottom-up controls include iron availability, irradiance regulation (either by the incident surface irradiance as controlled by season and sea ice cover, or by the effects of vertical turbulence and mixed layer depths), and rnacronutrient availability (silicic acid and nitrate). While the contribution of various phytoplankton taxa varies spatially and temporally within the Antarctic, we suggest that this is largely due to the specific responses of the important functional groups to the patterns of physical forcing and rnicronutrient inputs, rather than to changes in controls by small and large grazers. Examples of abiotic and biotic controls are examined from representative regions of the Antarctic, including continental shelf regions and open ocean HNLC systems. Results from models further support our contention that bottom-up control of large forms is paramount in the Southern Ocean, but top-down controls play an important part in regulating the equilibrium standing stocks of smaller taxa. If bottom-up control is indeed universal in the Antarctic, then it has profound implications for the understanding of interannual variability, food web structure, and population dynamics of higher trophic levels in both the present and past Southern Ocean.</t>
  </si>
  <si>
    <t>Virginia Inst Marine Sci, Coll William &amp; Mary, Gloucester Point, VA 23602 USA; Free Univ Brussels, B-1050 Brussels, Belgium</t>
  </si>
  <si>
    <t>William &amp; Mary; Virginia Institute of Marine Science; Universite Libre de Bruxelles</t>
  </si>
  <si>
    <t>Smith, WO (corresponding author), Virginia Inst Marine Sci, Coll William &amp; Mary, Gloucester Point, VA 23602 USA.</t>
  </si>
  <si>
    <t>wos@vims.edu</t>
  </si>
  <si>
    <t>10.1017/S0954102004002305</t>
  </si>
  <si>
    <t>WOS:000226060800013</t>
  </si>
  <si>
    <t>Smetacek, V; Assmy, P; Henjes, J</t>
  </si>
  <si>
    <t>The role of grazing in structuring Southern Ocean pelagic ecosystems and biogeochemical cycles</t>
  </si>
  <si>
    <t>evolutionary ecology; iron fertilization; iron-limited systems; iron-replete systems; organic carbon pump; silicon pump</t>
  </si>
  <si>
    <t>ANTARCTIC POLAR FRONT; PHYTOPLANKTON COMMUNITY STRUCTURE; LAST GLACIAL MAXIMUM; EASTERN WEDDELL SEA; ATLANTIC SECTOR; IRON FERTILIZATION; FECAL MATERIAL; PRIMARY PRODUCTIVITY; CIRCUMPOLAR CURRENT; EQUATORIAL PACIFIC</t>
  </si>
  <si>
    <t>This review examines the links between pelagic ecology and ocean biogeochemistry with an emphasis on the role of the Southern Ocean in global cycling of carbon and silica. The structure and functioning of pelagic ecosystems is determined by the relationship between growth and mortality of its species populations. Whereas the key role of iron supply in conditioning the growth environment of land-remote oceans is now emerging, the factors shaping the mortality environment are still poorly understood. This paper addresses the role of grazing as a selective force operating on the structure and functioning of pelagic ecosystems within the larger conceptual framework of evolutionary ecology. That mortality due to grazing decreases with increasing cell size is widely taken for granted. We examine the impact of this principle across the range of size classes occupied by Southern Ocean plankton and show that relatively few species play crucial roles in the trophic structure and biogeochemical cycles of the Southern Ocean. Under iron-sufficient conditions, high growth rates of weakly silicified diatoms and Phaeocystis result in build-up of blooms that fuel the food chain of the giants (diatoms-krill-whales) and drive the carbon pump. In contrast, high grazing pressure of small copepods and salps on the regenerating microbial communities characteristic of the iron-limited Southern Ocean results in accumulation of large, heavily silicified diatoms that drive the silicon pump. The hypotheses we derive from field observations can be tested with in situ iron fertilization experiments.</t>
  </si>
  <si>
    <t>Alfred Wegener Inst Polar &amp; Marine Res, D-27570 Bremerhaven, Germany</t>
  </si>
  <si>
    <t>Alfred Wegener Inst Polar &amp; Marine Res, D-27570 Bremerhaven, Germany.</t>
  </si>
  <si>
    <t>vsmetacek@awi-bremerhaven.de</t>
  </si>
  <si>
    <t>Henjes, Joachim/0000-0002-6688-8802</t>
  </si>
  <si>
    <t>10.1017/S0954102004002317</t>
  </si>
  <si>
    <t>WOS:000226060800014</t>
  </si>
  <si>
    <t>Clarke, A; Aronson, RB; Crame, JA; Gil, JM; Blake, DB</t>
  </si>
  <si>
    <t>Evolution and diversity of the benthic fauna of the Southern Ocean continental shelf</t>
  </si>
  <si>
    <t>climatic cooling; extinction; glaciations; Milankovitch; predation; speciation</t>
  </si>
  <si>
    <t>SEROLID ISOPODS CRUSTACEA; LA-MESETA FORMATION; SEYMOUR ISLAND; MOLECULAR PHYLOGENY; DECAPOD CRUSTACEANS; CHEMICAL ECOLOGY; CLIMATE-CHANGE; WEDDELL SEA; LATE EOCENE; BIOGEOGRAPHY</t>
  </si>
  <si>
    <t>The modern benthic fauna of the Antarctic continental shelf is characterized by the lack of active, skeleton-breaking (durophagous) predators such as crabs, lobsters and many fish, and the dominance in many areas of epifaunal suspension feeders. It has often been remarked that these ecological characteristics give the fauna a distinctly Palaeozoic feel, with the assumption that it may be an evolutionary relic. We now know that this is not so, and fossil evidence shows clearly that many of the taxa and life-styles that are absent now were previously present. The modern fauna has been shaped by a number of factors, important among which have been oceanographic changes and the onset of Cenozoic glaciation. Sea-water cooling, and periodic fragmentation of ranges and bathymetric shifts in distribution driven by variability in the size and extent of the continental ice cap on Milankovitch frequencies will all have caused both extinction and allopatric speciation. The modern glacial setting with relatively low terrestrial impact away from immediate coastal regions, and scouring by icebergs are the key factors influencing the ecology and population dynamics for the modern Antarctic benthos.</t>
  </si>
  <si>
    <t>British Antarctic Survey, NERC, Cambridge CB3 0ET, England; Dauphin Isl Sea Lab, Dauphin Isl, AL 36528 USA; CSIC, CMIMA, Inst Ciencias Mar, Dept Biol Marina, Barcelona 08003, Spain; Univ Illinois, Dept Geol, Urbana, IL 61801 USA</t>
  </si>
  <si>
    <t>UK Research &amp; Innovation (UKRI); Natural Environment Research Council (NERC); NERC British Antarctic Survey; Dauphin Island Sea Lab; Consejo Superior de Investigaciones Cientificas (CSIC); CSIC - Centro Mediterraneo de Investigaciones Marinas y Ambientales (CMIMA); CSIC - Instituto de Ciencias del Mar (ICM); University of Illinois System; University of Illinois Urbana-Champaign</t>
  </si>
  <si>
    <t>accl@bas.ac.uk</t>
  </si>
  <si>
    <t>Aronson, Richard/0000-0003-0383-3844</t>
  </si>
  <si>
    <t>10.1017/S0954102004002329</t>
  </si>
  <si>
    <t>WOS:000226060800015</t>
  </si>
  <si>
    <t>Croxall, JP; Nicol, S</t>
  </si>
  <si>
    <t>Management of Southern Ocean fisheries: global forces and future sustainability</t>
  </si>
  <si>
    <t>Antarctic fisheries; bycatch management; CCAMLR; ecosystem management; fishery economics; incidental mortality; krill; toothfish</t>
  </si>
  <si>
    <t>KRILL POPULATION-DYNAMICS; ANTARCTIC KRILL; MANAGING FISHERIES; MARINE ECOSYSTEM; DIOMEDEA-EXULANS; SEA-ICE; CONSERVATION; PREDATORS; MORTALITY; FLUORIDE</t>
  </si>
  <si>
    <t>The marine resources of the Antarctic region are of global significance. In managing Southern Ocean marine resources, especially fisheries, the Commission for the Conservation of Antarctic Marine Living Resources (CCAMLR) has adopted principles that aim: to balance harvesting and conservation; to protect the needs of dependent species, and to avoid changes that are irreversible in 20-30 years. CCAMLR has pioneered ecosystem approaches to fishery and environmental management, through the incorporation of precaution and uncertainty into its management procedures and by establishing an ecosystem monitoring programme using indicator species and processes. This pioneering application of precautionary and ecosystem approaches in the management of harvesting has met with some success, notably in applying conservative yield models for toothfish and krill stocks and in establishing strict rules for undertaking new and exploratory fisheries. However, toothfish management has been recently compromised by Illegal, Unreported and Unregulated (IUU) fishing which is driven by forces outside the Southern Ocean. Southern Ocean harvestable resources are also subject to other global forces such as environmental changes, and their management systems remain very vulnerable to rapid shifts in worldwide fishery economics, and to inadequate management in adjacent areas, particularly high seas. CCAMLR needs quickly to develop the basis of more flexible and effective management to cater for rapid shifts in capacity and demand. The complementary task, however, is to raise the management standard of other Regional Fisheries Management Organisations (RFMOs) to those of CCAMLR if global high seas marine resources are to be sustainable for the rest of this century.</t>
  </si>
  <si>
    <t>British Antarctic Survey, NERC, Cambridge CB3 0ET, England; Australian Antarctic Div, Antarctic Marine Living Resources Program, Kingston, Tas 7050, Australia; Antarctic Climate &amp; Ecosyst Cooperat Res Ctr, Hobart, Tas 7001, Australia</t>
  </si>
  <si>
    <t>UK Research &amp; Innovation (UKRI); Natural Environment Research Council (NERC); NERC British Antarctic Survey; Australian Antarctic Division; Antarctic Climate &amp; Ecosystems Cooperative Research Centre (ACE CRC)</t>
  </si>
  <si>
    <t>j.croxall@abs.ac.uk</t>
  </si>
  <si>
    <t>10.1017/S0954102004002330</t>
  </si>
  <si>
    <t>WOS:000226060800016</t>
  </si>
  <si>
    <t>Castiglioni, B; Rizzi, E; Frosini, A; Sivonen, K; Rajaniemi, P; Rantala, A; Mugnai, MA; Ventura, S; Wilmotte, A; Boutte, C; Grubisic, S; Balthasart, P; Consolandi, C; Bordoni, R; Mezzelani, A; Battaglia, C; De Bellis, G</t>
  </si>
  <si>
    <t>Development of a universal microarray based on the ligation detection reaction and 16S rRNA gene polymorphism to target diversity of cyanobacteria</t>
  </si>
  <si>
    <t>APPLIED AND ENVIRONMENTAL MICROBIOLOGY</t>
  </si>
  <si>
    <t>OLIGONUCLEOTIDE-MICROARRAY; ABUNDANCE; BACTERIA</t>
  </si>
  <si>
    <t>The cyanobacteria are photosynthetic prokaryotes of significant ecological and biotechnological interest, since they strongly contribute to primary production and are a rich source of bioactive compounds. In eutrophic fresh and brackish waters, their mass occurrences (water blooms) are often toxic and constitute a high potential risk for human health. Therefore, rapid and reliable identification of cyanobacterial species in complex environmental samples is important. Here we describe the development and validation of a microarray for the identification of cyanobacteria in aquatic environments. Our approach is based on the use of a ligation detection reaction coupled to a universal array. Probes were designed for detecting 19 cyanobacterial groups including Anabaena/Aphanizomenon, Calothrix, Cylindrospermopsis, Cylindrospermum, Gloeothece, halotolerants, Leptolyngbya, Palau Lyngbya, Microcystis, Nodularia, Nostoc, Planktothrix, Antarctic Phormidium, Prochlorococcus, Spirulina, Synechococcus, Synechocystis, Trichodesmium, and Woronichinia. These groups were identified based on an alignment of over 300 cyanobacterial 16S rRNA sequences. For validation of the microarrays, 95 samples (24 axenic strains from culture collections, 27 isolated strains, and 44 cloned fragments recovered from environmental samples) were tested. The results demonstrated a high discriminative power and sensitivity to 1 fmol of the PCR-amplified 16S rRNA gene. Accurate identification of target strains was also achieved with unbalanced mixes of PCR amplicons from different cyanobacteria and an environmental sample. Our universal array method shows great potential for rapid and reliable identification of cyanobacteria. It can be easily adapted to future development and could thus be applied both in research and environmental monitoring.</t>
  </si>
  <si>
    <t>Italian Natl Res Council, CNR, Ist Tecnol Biomed, I-20090 Segrate, Mi, Italy; Italian Natl Res Council, Inst Agr Biol &amp; Biotechnol, I-20133 Milan, Italy; Univ Helsinki, Viikki Bioctr, Dept Appl Chem &amp; Microbiol, Helsinki, Finland; Univ Liege, Inst Chem, Ctr Prot Engn, Liege, Belgium; Univ Milan, Dept Biomed Sci &amp; Technol, I-20133 Milan, Italy; Italian Natl Res Council, Sect Florence, Inst Ecosyst, Florence, Italy</t>
  </si>
  <si>
    <t>Consiglio Nazionale delle Ricerche (CNR); Istituto di Tecnologie Biomediche (ITB-CNR); Consiglio Nazionale delle Ricerche (CNR); University of Helsinki; University of Liege; University of Milan; Consiglio Nazionale delle Ricerche (CNR)</t>
  </si>
  <si>
    <t>Italian Natl Res Council, CNR, Ist Tecnol Biomed, Via Cervi 93, I-20090 Segrate, Mi, Italy.</t>
  </si>
  <si>
    <t>gianluca.debellis@itb.cnr.it</t>
  </si>
  <si>
    <t>Mezzelani, Alessandra/B-3355-2014; Ventura, Stefano/A-4014-2009; Wilmotte, Annick/H-1686-2011; Castiglioni, Bianca/G-9856-2013; Rizzi, Ermanno/J-7448-2012; Bordoni, Roberta/HZH-5628-2023; Battaglia, Cristina/E-5166-2017; De Bellis, Gianluca/H-9725-2013; rizzi, ermanno/Q-3399-2016</t>
  </si>
  <si>
    <t>Ventura, Stefano/0000-0002-8134-3675; MEZZELANI, ALESSANDRA/0000-0001-7563-5869; Ylinen, Anne Helena/0000-0001-7423-7789; Battaglia, Cristina/0000-0003-3025-9657; Castiglioni, Bianca/0000-0003-2326-6701; De Bellis, Gianluca/0000-0002-1622-4477; Sivonen, Kaarina/0000-0002-2904-0458; Wilmotte, Annick/0000-0003-3546-3489; rizzi, ermanno/0000-0002-9898-2326</t>
  </si>
  <si>
    <t>AMER SOC MICROBIOLOGY</t>
  </si>
  <si>
    <t>1752 N ST NW, WASHINGTON, DC 20036-2904 USA</t>
  </si>
  <si>
    <t>0099-2240</t>
  </si>
  <si>
    <t>1098-5336</t>
  </si>
  <si>
    <t>APPL ENVIRON MICROB</t>
  </si>
  <si>
    <t>Appl. Environ. Microbiol.</t>
  </si>
  <si>
    <t>10.1128/AEM.70.12.7161-7172.2004</t>
  </si>
  <si>
    <t>Biotechnology &amp; Applied Microbiology; Microbiology</t>
  </si>
  <si>
    <t>879LM</t>
  </si>
  <si>
    <t>WOS:000225719300028</t>
  </si>
  <si>
    <t>Magi, E; Di Carro, M; Rivaro, P</t>
  </si>
  <si>
    <t>Analysis of butyltin compounds by gas chromatography-mass spectrometry:: an application to the Antarctic bivalve Adamussium colbecki</t>
  </si>
  <si>
    <t>APPLIED ORGANOMETALLIC CHEMISTRY</t>
  </si>
  <si>
    <t>Article; Proceedings Paper</t>
  </si>
  <si>
    <t>International Conference on Environmental and Biological Aspects of Main Group Organometallics</t>
  </si>
  <si>
    <t>DEC 03-05, 2003</t>
  </si>
  <si>
    <t>Pau, FRANCE</t>
  </si>
  <si>
    <t>butyltin compounds; marine bivalve; Antarctica</t>
  </si>
  <si>
    <t>SOLID-PHASE MICROEXTRACTION; ORGANOTIN COMPOUNDS; LIQUID-CHROMATOGRAPHY; MARINE-ENVIRONMENT; SPECIATION ANALYSIS; PHENYLTIN COMPOUNDS; RAPID-DETERMINATION; MYTILUS-EDULIS; WEST GREENLAND; MUSSEL SAMPLES</t>
  </si>
  <si>
    <t>A gas chromatography-mass spectrometry method was developed for the determination of butyltin compounds in biota samples. Tributyltin (TBT), dibutyltin (DBT) and monobutyltin (MBT) were extracted in methanol-containing tropolone (0.05% w/v) and subjected to Grignard pentylation. A solid-phase extraction procedure on florisil was optimized in order to purify the extracts. Quantitative determinations were carried out in single ion monitoring mode (TBT m/z 305, DBT and MBT m/z 319) using tripropyltin as internal standard (m/z 277). The accuracy of the whole methodology was verified on a certified reference material (CRM 477 from BCR), obtaining a recovery of about 95% for TBT and DBT and 116% for MBT. Detection limits (organotin cation per tissue dry weight) were 6.4 ng g(-1) for TBT, 6.2 ng g(-1) for DBT and 4.5 ng g(-1) for MBT. Butyltin compounds were determined in the marine bivalve Adamussium colbecki, collected near the Italian Antarctic Base of Terra Nova Bay, during the XIII Italian Antarctic Campaign. The presence of the analytes, although at low levels, was verified in the whole tissue, gills and digestive glands; gills showed the highest concentrations, ranging from 31 to 133 ng g(-1). The occurrence of butyltin compounds in the southern polar region studied suggests their ubiquitous distribution. Copyright (C) 2004 John Wiley Sons, Ltd.</t>
  </si>
  <si>
    <t>Univ Genoa, Dipartimento Chim &amp; Chim Ind, I-16146 Genoa, Italy</t>
  </si>
  <si>
    <t>University of Genoa</t>
  </si>
  <si>
    <t>Magi, E (corresponding author), Univ Genoa, Dipartimento Chim &amp; Chim Ind, Via Dodecaneso 31, I-16146 Genoa, Italy.</t>
  </si>
  <si>
    <t>magie@chimica.unige.it</t>
  </si>
  <si>
    <t>Rivaro, Paola/I-8305-2012; Magi, Emanuele/C-9564-2011</t>
  </si>
  <si>
    <t>Magi, Emanuele/0000-0002-8183-5020</t>
  </si>
  <si>
    <t>JOHN WILEY &amp; SONS LTD</t>
  </si>
  <si>
    <t>CHICHESTER</t>
  </si>
  <si>
    <t>THE ATRIUM, SOUTHERN GATE, CHICHESTER PO19 8SQ, W SUSSEX, ENGLAND</t>
  </si>
  <si>
    <t>0268-2605</t>
  </si>
  <si>
    <t>APPL ORGANOMET CHEM</t>
  </si>
  <si>
    <t>Appl. Organomet. Chem.</t>
  </si>
  <si>
    <t>10.1002/aoc.701</t>
  </si>
  <si>
    <t>Chemistry, Applied; Chemistry, Inorganic &amp; Nuclear</t>
  </si>
  <si>
    <t>Conference Proceedings Citation Index - Science (CPCI-S); Science Citation Index Expanded (SCI-EXPANDED)</t>
  </si>
  <si>
    <t>Chemistry</t>
  </si>
  <si>
    <t>880PL</t>
  </si>
  <si>
    <t>WOS:000225801600008</t>
  </si>
  <si>
    <t>Kim, S; Walsh, W; Xiao, KC</t>
  </si>
  <si>
    <t>Antarctic Submillimeter Telescope and Remote Observatory observations of 12Co J = 4→3 emission from the N44 complex in the Large Magellanic Cloud</t>
  </si>
  <si>
    <t>ASTROPHYSICAL JOURNAL</t>
  </si>
  <si>
    <t>galaxies : ISM; ISM : atoms; ISM : general; ISM : molecules; Magellanic Clouds; radio lines : galaxies</t>
  </si>
  <si>
    <t>PHOTODISSOCIATION REGIONS; MOLECULAR ABUNDANCES; INTERSTELLAR COMPLEX; APERTURE SYNTHESIS; HYDROGEN GAS; CO SURVEY; X-RAYS; LMC; SUPERBUBBLES; CATALOG</t>
  </si>
  <si>
    <t>We present Antarctic Submillimeter Telescope and Remote Observatory (AST/RO) observations of (CO)-C-12 J = 4 --&gt; 3 and [C I] emission in the N44 H II complex in the Large Magellanic Cloud. We detected strong (CO)-C-12 J = 4 ! 3 emission toward the H II region known as N44BC, which is located on the rim of an expanding giant shell in the N44 region. Analysis with a photodissociation region model showed that the (CO)-C-12 J = 4 --&gt; 3 emitting cloud is very dense, with n(0) approximate to 10(5) cm(-3). We also note that there is a high-velocity component associated with the (CO)-C-12 J = 4 --&gt; 3 emission. This probably originates from molecular material accelerated as a result of the motion induced by the expanding giant shell surrounding LH 47 in the N44 complex. We found that the kinetic energy of this high-velocity gas observed in the (CO)-C-12 J = 4 --&gt; 3 emission toward the rim of the expanding H II shell is at least a factor of 4 higher than that derived for the H I and H II gas in this region.</t>
  </si>
  <si>
    <t>Sejong Univ, Dept Astron &amp; Space Sci, Seoul 143747, South Korea; Harvard Smithsonian Ctr Astrophys, Cambridge, MA 02138 USA</t>
  </si>
  <si>
    <t>Sejong University; Harvard University; Smithsonian Astrophysical Observatory; Smithsonian Institution</t>
  </si>
  <si>
    <t>Sejong Univ, Dept Astron &amp; Space Sci, KunJa Dong 98, Seoul 143747, South Korea.</t>
  </si>
  <si>
    <t>skim@arcsec.sejong.ac.kr</t>
  </si>
  <si>
    <t>Kim, Sungeun/AAH-3658-2021</t>
  </si>
  <si>
    <t>Kim, Sungeun/0000-0002-7558-8502; Walsh, Wilfred/0000-0002-6054-6414</t>
  </si>
  <si>
    <t>IOP PUBLISHING LTD</t>
  </si>
  <si>
    <t>BRISTOL</t>
  </si>
  <si>
    <t>TEMPLE CIRCUS, TEMPLE WAY, BRISTOL BS1 6BE, ENGLAND</t>
  </si>
  <si>
    <t>0004-637X</t>
  </si>
  <si>
    <t>1538-4357</t>
  </si>
  <si>
    <t>ASTROPHYS J</t>
  </si>
  <si>
    <t>Astrophys. J.</t>
  </si>
  <si>
    <t>DEC 1</t>
  </si>
  <si>
    <t>10.1086/425120</t>
  </si>
  <si>
    <t>875KC</t>
  </si>
  <si>
    <t>WOS:000225418100016</t>
  </si>
  <si>
    <t>Correché, ER; Enriz, RD; Piovano, M; Garbarino, J; Gómez-Lechón, MJ</t>
  </si>
  <si>
    <t>Cytotoxic and apoptotic effects on hepatocytes of secondary metabolites obtained from lichens</t>
  </si>
  <si>
    <t>ATLA-ALTERNATIVES TO LABORATORY ANIMALS</t>
  </si>
  <si>
    <t>antarctic lichens; apoptosis; caspase 3; cytotoxicity; depsides; depsidones; DNA fragmentation; hepatocytes</t>
  </si>
  <si>
    <t>CHILEAN LICHENS; USNIC ACID; CELL-DEATH; MITOCHONDRIAL DYSFUNCTION; PHENOLIC CONSTITUENTS; IN-VITRO; DEPSIDONES; TOXICOLOGY; CYTOMETRY; NECROSIS</t>
  </si>
  <si>
    <t>There are a large number of species of Antarctic lichens, and several studies describing the secondary metabolites present in these lichens, as well as the advances in understanding the chemistry of these metabolites, have been reported. in addition, some derivatives displaying interesting antibacterial effects have been described. The cytotoxic and apoptotic effects of 15 secondary metabolites (depsides, depsidones and usnic acid) obtained from Continental (Chilean) and Antarctic lichens were evaluated in primary cultures of rat hepatocytes. Intracellular lactate dehydrogenase release, caspase 3 activation and DNA fragmentation were measured. In this study, we have evaluated a set of markers associated with pivotal steps in the execution phase of apoptosis, in order to detect compounds with apoptotic effects on hepatocytes before significant necrosis takes place. Flow cytometric analysis of DNA fragmentation revealed an increase in apoptotic nuclei with sub-diploid DNA content after the exposure of hepatocytes to sub-cytotoxic concentrations of the compounds. Among these, salazinic acid, stictic acid and psoromic acid displayed significant apoptotic activities. Divaricatic acid showed only moderate apoptotic effects at sub-cytotoxic concentrations.</t>
  </si>
  <si>
    <t>Univ Valencia, Hosp La Fe, Ctr Invest, Unidad Hepatol Expt, E-46009 Valencia, Spain; Univ Nacl San Luis, Fac Quim Bioquim &amp; Farm, San Luis, Argentina; Univ Tecn Federico Santa Maria, Fac Ciencia, Dept Quim, Valparaiso, Chile</t>
  </si>
  <si>
    <t>Hospital Universitari i Politecnic La Fe; University of Valencia; Universidad Nacional de San Luis; Universidad Tecnica Federico Santa Maria</t>
  </si>
  <si>
    <t>Univ Valencia, Hosp La Fe, Ctr Invest, Unidad Hepatol Expt, Avda Campanar 21, E-46009 Valencia, Spain.</t>
  </si>
  <si>
    <t>gomez_mjo@gva.es</t>
  </si>
  <si>
    <t>Enriz, Ricardo/0000-0002-4846-9452</t>
  </si>
  <si>
    <t>FRAME</t>
  </si>
  <si>
    <t>NOTTINGHAM</t>
  </si>
  <si>
    <t>RUSSELL &amp; BURCH HOUSE 96-98 NORTH SHERWOOD ST, NOTTINGHAM NG1 4EE, NOTTS, ENGLAND</t>
  </si>
  <si>
    <t>0261-1929</t>
  </si>
  <si>
    <t>ATLA-ALTERN LAB ANIM</t>
  </si>
  <si>
    <t>ATLA-Altern. Lab. Anim.</t>
  </si>
  <si>
    <t>10.1177/026119290403200611</t>
  </si>
  <si>
    <t>900PD</t>
  </si>
  <si>
    <t>WOS:000227225900012</t>
  </si>
  <si>
    <t>Garsoux, G; Lamotte, J; Gerday, C; Feller, G</t>
  </si>
  <si>
    <t>Kinetic and structural optimization to catalysis at low temperatures in a psychrophilic cellulase from the Antarctic bacterium Pseudoalteromonas haloplanktis</t>
  </si>
  <si>
    <t>BIOCHEMICAL JOURNAL</t>
  </si>
  <si>
    <t>carbohydrate-binding module; cellulase; extremophile; glycoside hydrolase; Pseudoalteromonas haloplanktis; psychrophile</t>
  </si>
  <si>
    <t>ERWINIA-CHRYSANTHEMI; BINDING DOMAINS; COLD ADAPTATION; ALTEROMONAS-HALOPLANCTIS; GLYCOSYL HYDROLASES; ENDOGLUCANASE-Z; ALPHA-AMYLASE; ENZYMES; EGZ; FLEXIBILITY</t>
  </si>
  <si>
    <t>The cold-adapted cellulase CelG has been purified from the culture supernatant of the Antarctic bacterium Pseudoalteromonas haloplanktis and the gene coding for this enzyme has been cloned, sequenced and expressed in Escherichia coli. This cellulase is composed of three structurally and functionally distinct regions: an N-terminal catalytic domain belonging to glycosidase family 5 and a C-terminal cellulose-binding domain belonging to carbohydrate-binding module family 5. The linker of 107 residues connecting both domains is one of the longest found in cellulases, and optimizes substrate accessibility to the catalytic domain by drastically increasing the Surface of cellulose available to a bound enzyme molecule. The psychrophilic enzyme is closely related to the cellulase Cel5 from Erwinia chrysanthemi. Both k(cat) and k(cat)/K-m values at 4 degreesC for the psychrophilic cellulase are similar to the values for Cel5 at 30-35 degreesC, suggesting temperature adaptation of the kinetic parameters. The thermodynamic parameters of activation of CelG suggest a heat-labile, relatively disordered active site with low substrate affinity, in agreement with the experimental data. The structure of CelG has been constructed by homology modelling with a molecule of cellotetraose docked into the active site. No structural alteration related to cold-activity can be found in the catalytic cleft, whereas several structural factors in the overall structure can explain the weak thermal stability, suggesting that the loss of stability provides the required active-site mobility at low temperatures.</t>
  </si>
  <si>
    <t>Univ Liege, Biochem Lab, Inst Chem B6A, B-4000 Liege, Belgium; Univ Liege, Ctr Prot Engn, Inst Chem B6A, B-4000 Liege, Belgium</t>
  </si>
  <si>
    <t>University of Liege; University of Liege</t>
  </si>
  <si>
    <t>Univ Liege, Biochem Lab, Inst Chem B6A, B-4000 Liege, Belgium.</t>
  </si>
  <si>
    <t>gfeller@ulg.ac.be</t>
  </si>
  <si>
    <t>PORTLAND PRESS LTD</t>
  </si>
  <si>
    <t>CHARLES DARWIN HOUSE, 12 ROGER STREET, LONDON WC1N 2JU, ENGLAND</t>
  </si>
  <si>
    <t>0264-6021</t>
  </si>
  <si>
    <t>1470-8728</t>
  </si>
  <si>
    <t>BIOCHEM J</t>
  </si>
  <si>
    <t>Biochem. J.</t>
  </si>
  <si>
    <t>10.1042/BJ20040325</t>
  </si>
  <si>
    <t>Biochemistry &amp; Molecular Biology</t>
  </si>
  <si>
    <t>879DP</t>
  </si>
  <si>
    <t>Green Published, Green Submitted</t>
  </si>
  <si>
    <t>WOS:000225696900004</t>
  </si>
  <si>
    <t>Xie, XL; Chen, QY</t>
  </si>
  <si>
    <t>Inactivation kinetics of β-n-acetyl-d-glucosaminidase from prawn (Penaeus vannamei) in dioxane solution</t>
  </si>
  <si>
    <t>BIOCHEMISTRY-MOSCOW</t>
  </si>
  <si>
    <t>beta-N-acetyl-D-glucosaminidase; Penaeus vannamei; dioxane; inactivation kinetics</t>
  </si>
  <si>
    <t>CRAB SCYLLA-SERRATA; ALKALINE-PHOSPHATASE; ANTARCTIC KRILL; HEPATOPANCREAS; PURIFICATION; INHIBITION; CHITOBIASE; CHITINASES; SILKWORM</t>
  </si>
  <si>
    <t>beta-N-Acetyl-D-glucosaminidase (NAGase, EC 3.2.1.52) catalyzes the cleavage of N-acetylglucosamine polymers. It is in the composition of the chitinases and cooperates with endo-chitinase and exo-chitinase to disintegrate chitin into N-acetylglucosamine. In this work, the effects of dioxane on the enzyme activity for the hydrolysis of p-nitrophenyl-N-acetyl-beta-D-glucosaminide from the prawn (Penaeus vannamei) have been studied. The results show that appropriate concentrations of dioxane can lead to reversible inactivation of the enzyme, and the IC50 is estimated to be 1.1 M. The kinetics of inactivation of NAGase in the appropriate concentrations of dioxane solution has been studied using the kinetic method of the substrate reaction. The rate constants of inactivation have been determined. The results show that the free enzyme molecule is more fragile than the enzyme-substrate complex in the dioxane solution. It is suggested that the presence of the substrate offers marked protection of this enzyme against inactivation by dioxane.</t>
  </si>
  <si>
    <t>Xiamen Univ, Sch Life Sci, Minist Educ Cell Biol &amp; Tumor Cell Engn, Key Lab, Xiamen 361005, Peoples R China</t>
  </si>
  <si>
    <t>Xiamen University</t>
  </si>
  <si>
    <t>Xiamen Univ, Sch Life Sci, Minist Educ Cell Biol &amp; Tumor Cell Engn, Key Lab, Xiamen 361005, Peoples R China.</t>
  </si>
  <si>
    <t>chenqx@jingxian.xmu.edu.cn</t>
  </si>
  <si>
    <t>chen, qy/JXM-3217-2024</t>
  </si>
  <si>
    <t>MAIK NAUKA/INTERPERIODICA/SPRINGER</t>
  </si>
  <si>
    <t>233 SPRING ST, NEW YORK, NY 10013-1578 USA</t>
  </si>
  <si>
    <t>0006-2979</t>
  </si>
  <si>
    <t>1608-3040</t>
  </si>
  <si>
    <t>BIOCHEMISTRY-MOSCOW+</t>
  </si>
  <si>
    <t>Biochem.-Moscow</t>
  </si>
  <si>
    <t>10.1007/s10541-005-0082-7</t>
  </si>
  <si>
    <t>893DG</t>
  </si>
  <si>
    <t>WOS:000226698900007</t>
  </si>
  <si>
    <t>Morcillo, M; Chico, B; de la Fuente, D; Almeida, E; Joseph, G; Rivero, S; Rosales, B</t>
  </si>
  <si>
    <t>Atmospheric corrosion of reference metals in Antarctic sites</t>
  </si>
  <si>
    <t>COLD REGIONS SCIENCE AND TECHNOLOGY</t>
  </si>
  <si>
    <t>NACE Northern Area Western Region Conference</t>
  </si>
  <si>
    <t>Anchorage, AK</t>
  </si>
  <si>
    <t>atmospheric corrosion; cold climates; mild steel; zinc; copper; aluminium</t>
  </si>
  <si>
    <t>IBERO-AMERICA; STEEL; PRODUCTS; COPPER; ZINC</t>
  </si>
  <si>
    <t>This paper presents the results obtained at three Antarctic test sites participating in the Ibero-American Map of Atmospheric Corrosiveness (MICAT), a project on atmospheric corrosion carried out during the period 1988-1994 at some 70 sites distributed across 12 countries of the Latin-American region, Spain and Portugal. The three Antarctic sites are located near the coastline. The singular climatic characteristics of Antarctic regions are related with the purity of the air. the absence of rainfall and the formation of ice on the metallic surface during an important part of the exposure time. However. electrochemical activity is possible below ice layers. This situation affects the structure and morphology of corrosion product films and the resulting corrosion rates of metallic surfaces. (C) 2004 Elsevier B.V. All rights reserved.</t>
  </si>
  <si>
    <t>Ctr Nacl Invest Met, Madrid 28040, Spain; Inst Nacl Engn &amp; Tecnol Ind, Lisbon, Portugal; Univ Chile, IDIEM, Santiago, Chile; Univ Republica, Fac Ingn, Montevideo, Uruguay; CITEFA, RA-4380 Zufritegui, Buenos Aires, Argentina</t>
  </si>
  <si>
    <t>Consejo Superior de Investigaciones Cientificas (CSIC); Centro Nacional de Investigaciones Metalurgicas (CENIM); Universidad de Chile; Universidad de la Republica, Uruguay</t>
  </si>
  <si>
    <t>Ctr Nacl Invest Met, Avda Gregorio Amo 8, Madrid 28040, Spain.</t>
  </si>
  <si>
    <t>director@cenim.csic.es</t>
  </si>
  <si>
    <t>Morcillo Linares, Manuel/0000-0002-7355-0092; Chico, Belen/0000-0001-8697-6298; de la Fuente, Daniel/0000-0003-4540-3180</t>
  </si>
  <si>
    <t>0165-232X</t>
  </si>
  <si>
    <t>1872-7441</t>
  </si>
  <si>
    <t>COLD REG SCI TECHNOL</t>
  </si>
  <si>
    <t>Cold Reg. Sci. Tech.</t>
  </si>
  <si>
    <t>10.1016/j.coldregions.2004.06.009</t>
  </si>
  <si>
    <t>Engineering, Environmental; Engineering, Civil; Geosciences, Multidisciplinary</t>
  </si>
  <si>
    <t>Science Citation Index Expanded (SCI-EXPANDED); Conference Proceedings Citation Index - Science (CPCI-S)</t>
  </si>
  <si>
    <t>Engineering; Geology</t>
  </si>
  <si>
    <t>880PW</t>
  </si>
  <si>
    <t>WOS:000225802700002</t>
  </si>
  <si>
    <t>Twining, BS; Baines, SB; Fisher, NS; Landry, MR</t>
  </si>
  <si>
    <t>Cellular iron contents of plankton during the Southern Ocean Iron Experiment (SOFeX)</t>
  </si>
  <si>
    <t>DEEP-SEA RESEARCH PART I-OCEANOGRAPHIC RESEARCH PAPERS</t>
  </si>
  <si>
    <t>Southern Ocean; iron limitation; fertilization; protozoa; Phytoplankton; diatoms</t>
  </si>
  <si>
    <t>NATURAL ORGANIC-LIGANDS; ANTARCTIC POLAR FRONT; ELEMENTAL COMPOSITION; MARINE-PHYTOPLANKTON; EQUATORIAL PACIFIC; FERTILIZATION EXPERIMENT; INDIVIDUAL BACTERIA; NITROGEN-FIXATION; USE EFFICIENCIES; CARBON CONTENT</t>
  </si>
  <si>
    <t>Iron (Fe) availability limits phytoplankton biomass and production in large regions of the Southern Ocean and influences community composition and size structure, which may affect C export and other system-level functions. To improve our understanding of Fe partitioning within communities and the response of different components to fertilization, we assessed the cellular Fe contents of individual diatoms, autotrophic flagellates, and heterotrophic flagellates during the recent Southern Ocean Fe Experiment using synchrotron-based X-ray fluorescence (SXRF). Dual Fe-55/C-14 radioisotope incubations were also conducted to estimate Fe:C ratios in size-fractionated plankton. Cellular Fe quotas determined by the two techniques were in close agreement when low amounts of Fe-55 (0.2 nM) were added, but Fe-55 additions of 2 nM resulted in 2-3-fold higher quotas. SXRF assessments of cellular Fe quotas (normalized to C) were generally in good agreement with prior bulk analyses of natural assemblages, but revealed compositional differences among protistan taxa not previously detected. Mean Fe:C ratios for diatoms, autotrophic flagellates, and heterotrophic flagellates from unfertilized waters were 6.0, 8.7, and 14.1 mumol mol C-1, respectively. Smaller cells had higher Fe:C ratios than larger cells. Fertilization enhanced Fe quotas in all cell types, with mean Fe:C ratios increasing approximately 4-fold (from about 10 to about 40 mumol mol C-1) after two Fe additions. This study provides some of the first measurements of Fe quotas in phytoplankton cells from natural communities and the first measurements of Fe quotas in natural protozoa. (C) 2004 Elsevier Ltd. All rights reserved.</t>
  </si>
  <si>
    <t>SUNY Stony Brook, Marine Sci Res Ctr, Stony Brook, NY 11794 USA; Univ Calif San Diego, Scripps Inst Oceanog, La Jolla, CA 92093 USA; SUNY Stony Brook, Ctr Environm Mol Sci, Stony Brook, NY 11794 USA</t>
  </si>
  <si>
    <t>State University of New York (SUNY) System; State University of New York (SUNY) Stony Brook; University of California System; University of California San Diego; Scripps Institution of Oceanography; State University of New York (SUNY) System; State University of New York (SUNY) Stony Brook</t>
  </si>
  <si>
    <t>Yale Inst Biospher Studies, Environm Sci Ctr, Box 208105, New Haven, CT 06520 USA.</t>
  </si>
  <si>
    <t>benjamin.twining@yale.edu</t>
  </si>
  <si>
    <t>Landry, Michael/HGF-1043-2022</t>
  </si>
  <si>
    <t>Baines, Stephen/0000-0002-9114-8769; Twining, Benjamin/0000-0002-1365-9192</t>
  </si>
  <si>
    <t>PERGAMON-ELSEVIER SCIENCE LTD</t>
  </si>
  <si>
    <t>THE BOULEVARD, LANGFORD LANE, KIDLINGTON, OXFORD OX5 1GB, ENGLAND</t>
  </si>
  <si>
    <t>0967-0637</t>
  </si>
  <si>
    <t>1879-0119</t>
  </si>
  <si>
    <t>DEEP-SEA RES PT I</t>
  </si>
  <si>
    <t>Deep-Sea Res. Part I-Oceanogr. Res. Pap.</t>
  </si>
  <si>
    <t>10.1016/j.dsr.2004.08.007</t>
  </si>
  <si>
    <t>883VT</t>
  </si>
  <si>
    <t>WOS:000226044500003</t>
  </si>
  <si>
    <t>Chaigneau, A; Morrow, RA; Rintoul, SR</t>
  </si>
  <si>
    <t>Seasonal and interannual evolution of the mixed layer in the Antarctic Zone south of Tasmania</t>
  </si>
  <si>
    <t>Antarctic zone; surface mixed layer; surface and subsurface water masses; temporal variations</t>
  </si>
  <si>
    <t>CIRCUMPOLAR WAVE; SEA-ICE; WATER MASSES; OCEAN; TEMPERATURE; MODE; PRECIPITATION; CIRCULATION; CONVECTION; SECTION</t>
  </si>
  <si>
    <t>Seasonal and interannual variations of the mixed layer properties in the Antarctic Zone (AZ) south of Tasmania are described using 7 WOCE/SR3 CTD sections and 8 years of summertime SURVOSTRAL XBT and thermosalinograph measurements between Tasmania and Antarctica. The AZ, which extends from the Polar Front (PF) to the Southern Antarctic Circumpolar Current Front (SACCF), is characterized by a 150 m deep layer of cold Winter Water (WW) overlayed in summer by warmer, fresher water mass known as Antarctic Surface Water (AASW). South of Tasmania, two branches of the PF divide the AZ into northern and southern zones with distinct water properties and variability. In the northern AZ (between the northern and southern branches of the PF), the mixed layer depth (MLD) is fairly constant in latitude, being 150 m deep in winter and around 40-60 m in summer. In the southern AZ, the winter MLD decreases from 150 m at the S-PF to 80 m at the SACCF and from 60 to 35 m in summer. Shallower mixed layers in the AZ-S are due to the decrease in the wind speed and stronger upwelling near the Antarctic Divergence. The WW MLD oscillates by +/- 15 m around its mean value and modest interannual changes are driven by winter wind stress anomalies. The mixed layer is on annual average 1.7 degreesC warmer, 0.06 fresher and 0.2 kg m(-3) lighter in the northern AZ than in the southern AZ. The Levitus (1998) climatology is in agreement with the observed mean summer mixed layer temperature and salinity along the SURVOSTRAL line but underestimates the MLD by 10-20 m. The winter MLD in the climatology is also closed to that observed, but is 0.15 saltier than the observations along the AZ-N of the SR3 line. MLD, temperature and density show a strong seasonal cycle through the AZ while the mixed layer salinity is nearly constant throughout the year. During winter, the AZ MLD is associated with a halocline while during summer it coincides with a thermocline. Interannual variability of the AZ summer mixed layer is partly influenced by large scale processes such as the circumpolar wave which produces a warm anomaly during the summer 1996-1997, and partly by local mechanisms such as the retroflection of the S-PF which introduces cold water across the AZ-N. (C) 2004 Elsevier Ltd. All rights reserved.</t>
  </si>
  <si>
    <t>LEGOS, F-31401 Toulouse 9, France; CSIRO, Marine Res &amp; Antartic Climate &amp; Ecosyst Cooperat, Hobart, Tas 7001, Australia</t>
  </si>
  <si>
    <t>Universite de Toulouse; Universite Toulouse III - Paul Sabatier; Centre National de la Recherche Scientifique (CNRS); Institut de Recherche pour le Developpement (IRD); Laboratoire d'Etudes en Geophysique et oceanographie spatiales; Commonwealth Scientific &amp; Industrial Research Organisation (CSIRO)</t>
  </si>
  <si>
    <t>LEGOS, 18,Av Edouard Belin, F-31401 Toulouse 9, France.</t>
  </si>
  <si>
    <t>chaigneau@profe.udec.cl; rosemary.morrow@cnes.fr; steve.rintoul@csiro.au</t>
  </si>
  <si>
    <t>Chaigneau, Alexis/E-4324-2010; Rintoul, Stephen R/A-1471-2012</t>
  </si>
  <si>
    <t>Rintoul, Stephen R/0000-0002-7055-9876; chaigneau, alexis/0000-0001-6770-0114</t>
  </si>
  <si>
    <t>10.1016/j.dsr.2004.06.013</t>
  </si>
  <si>
    <t>WOS:000226044500014</t>
  </si>
  <si>
    <t>Gewin, V</t>
  </si>
  <si>
    <t>Uncovering the Antarctic carbon cycle</t>
  </si>
  <si>
    <t>FRONTIERS IN ECOLOGY AND THE ENVIRONMENT</t>
  </si>
  <si>
    <t>ECOLOGICAL SOC AMER</t>
  </si>
  <si>
    <t>1707 H ST NW, STE 400, WASHINGTON, DC 20006-3915 USA</t>
  </si>
  <si>
    <t>1540-9295</t>
  </si>
  <si>
    <t>FRONT ECOL ENVIRON</t>
  </si>
  <si>
    <t>Front. Ecol. Environ.</t>
  </si>
  <si>
    <t>10.2307/3868377</t>
  </si>
  <si>
    <t>Ecology; Environmental Sciences</t>
  </si>
  <si>
    <t>Environmental Sciences &amp; Ecology</t>
  </si>
  <si>
    <t>878ML</t>
  </si>
  <si>
    <t>WOS:000225650800007</t>
  </si>
  <si>
    <t>Pratt, S</t>
  </si>
  <si>
    <t>Antarctic ice connections</t>
  </si>
  <si>
    <t>GEOTIMES</t>
  </si>
  <si>
    <t>AMER GEOLOGICAL INST</t>
  </si>
  <si>
    <t>ALEXANDRIA</t>
  </si>
  <si>
    <t>4220 KING ST, ALEXANDRIA, VA 22302-1507 USA</t>
  </si>
  <si>
    <t>0016-8556</t>
  </si>
  <si>
    <t>Geotimes</t>
  </si>
  <si>
    <t>878NA</t>
  </si>
  <si>
    <t>WOS:000225652300009</t>
  </si>
  <si>
    <t>Moline, MA; Claustre, H; Frazer, TK; Schofield, O; Vernet, M</t>
  </si>
  <si>
    <t>Alteration of the food web along the Antarctic Peninsula in response to a regional warming trend</t>
  </si>
  <si>
    <t>GLOBAL CHANGE BIOLOGY</t>
  </si>
  <si>
    <t>Antarctica; climate; cryptophytes; krill; phytoplankton; salps</t>
  </si>
  <si>
    <t>WESTERN EQUATORIAL PACIFIC; KRILL EUPHAUSIA-SUPERBA; FILTER-FEEDING RATES; SEA-ICE EXTENT; SOUTHERN-OCEAN; PHYTOPLANKTON ASSEMBLAGES; HPLC MEASUREMENTS; CLASS ABUNDANCES; SALPA-THOMPSONI; COASTAL WATERS</t>
  </si>
  <si>
    <t>In the nearshore coastal waters along the Antarctic Peninsula, a recurrent shift in phytoplankton community structure, from diatoms to cryptophytes, has been documented. The shift was observed in consecutive years (1991-1996) during the austral summer and was correlated in time and space with glacial melt-water runoff and reduced surface water salinities. Elevated temperatures along the Peninsula will increase the extent of coastal melt-water zones and the seasonal prevalence of cryptophytes. This is significant because a change from diatoms to cryptophytes represents a marked shift in the size distribution of the phytoplankton community, which will, in turn, impact the zooplankton assemblage. Cryptophytes, because of their small size, are not grazed efficiently by Antarctic krill, a keystone species in the food web. An increase in the abundance and relative proportion of cryptophytes in coastal waters along the Peninsula will likely cause a shift in the spatial distribution of krill and may allow also for the rapid asexual proliferation of carbon poor gelatinous zooplankton, salps in particular. This scenario may account for the reported increase in the frequency of occurrence and abundance of large swarms of salps within the region. Salps are not a preferred food source for organisms that occupy higher trophic levels in the food web, specifically penguins and seals, and thus negative feedbacks to the ecology of these consumers can be anticipated as a consequence of shifts in phytoplankton community composition.</t>
  </si>
  <si>
    <t>Calif Polytech State Univ San Luis Obispo, Dept Biol Sci, San Luis Obispo, CA 93407 USA; Observ Oceanol Villefranche CNRS INSU, Lab Phys &amp; Chim Marines, F-06238 Villefranche Sur Mer, France; Univ Florida, Dept Fisheries &amp; Aquat Sci, Gainesville, FL 32653 USA; Rutgers State Univ, Inst Marine &amp; Coastal Sci, Coastal Ocean Observat Lab, New Brunswick, NJ 08903 USA; Univ Calif San Diego, Scripps Inst Oceanog, Div Marine Res, La Jolla, CA 92093 USA</t>
  </si>
  <si>
    <t>California State University System; California Polytechnic State University San Luis Obispo; Centre National de la Recherche Scientifique (CNRS); State University System of Florida; University of Florida; Rutgers University System; Rutgers University New Brunswick; University of California System; University of California San Diego; Scripps Institution of Oceanography</t>
  </si>
  <si>
    <t>Moline, MA (corresponding author), Calif Polytech State Univ San Luis Obispo, Dept Biol Sci, San Luis Obispo, CA 93407 USA.</t>
  </si>
  <si>
    <t>mmoline@calpoly.edu</t>
  </si>
  <si>
    <t>CLAUSTRE, Herve/E-6877-2011; Claustre, Herve/JPL-2367-2023; Schofield, Oscar/H-4169-2018</t>
  </si>
  <si>
    <t>CLAUSTRE, Herve/0000-0001-6243-0258; Schofield, Oscar/0000-0003-2359-4131</t>
  </si>
  <si>
    <t>BLACKWELL PUBLISHING LTD</t>
  </si>
  <si>
    <t>9600 GARSINGTON RD, OXFORD OX4 2DG, OXON, ENGLAND</t>
  </si>
  <si>
    <t>1354-1013</t>
  </si>
  <si>
    <t>GLOBAL CHANGE BIOL</t>
  </si>
  <si>
    <t>Glob. Change Biol.</t>
  </si>
  <si>
    <t>10.1111/j.1365-2486.2004.00825.x</t>
  </si>
  <si>
    <t>Biodiversity Conservation; Ecology; Environmental Sciences</t>
  </si>
  <si>
    <t>Biodiversity &amp; Conservation; Environmental Sciences &amp; Ecology</t>
  </si>
  <si>
    <t>876HR</t>
  </si>
  <si>
    <t>WOS:000225487900002</t>
  </si>
  <si>
    <t>Zdzitowiecki, K; Laskowski, Z</t>
  </si>
  <si>
    <t>Helminths of an antarctic fish, Notothenia coriiceps, from the Vernadsky Station (Western Antarctica) in comparison with Admiralty bay (South Shetland Islands)</t>
  </si>
  <si>
    <t>HELMINTHOLOGIA</t>
  </si>
  <si>
    <t>Admiralty bay; Antarctica; fish; helminths; Notothenia coriiceps; southern border of distribution; Vernadsky Station</t>
  </si>
  <si>
    <t>INSHORE FISH; ACANTHOCEPHALAN INFECTION; ORKNEY ISLANDS; PARASITES; GEORGIA</t>
  </si>
  <si>
    <t>The Antarctic fish, Notothenia coriiceps, was found to be infected with 21 species of adult and larval helminths in the Vernadsky Station area, namely one species of Mono-genea, six Digenetic Trematoda, three Cestoda, eight Acanthocephala and three Nematoda. Infections were compared with new and previously published data from the Admiralty Bay, where 27 species of helminths were found, including all occurring at the Vernadsky Station. Levels of infections of most of helminths were lower at the Vernadsky Station. The opposite situation was found only for two trematodes, Neolebouria antarctica and Elytrophalloides oatesi, and four acanthocephalans, Metacanthocephalus dalmori, M johnstoni, Corynosoma arctocephali and C pseudohamanni. The latter acanthocephalan predominated at the Vernadsky Station, whereas a trematode Macvicaria georgiana was the dominant species in Admiralty Bay. Two acanthocephalans, Aspersentis megarhynchus and Corynosoma hamanni, which were co-dominant (together with C pseudohamanni) acanthocephalan species in Admiralty Bay, were very rare at the Vernadsky Station. The southern borders of their distribution areas are probably near to this station.</t>
  </si>
  <si>
    <t>Polish Acad Sci, W Stefanski Inst Parasitol, PL-00818 Warsaw, Poland; Polish Acad Sci, Dept Antarctic Biol, PL-02141 Warsaw, Poland</t>
  </si>
  <si>
    <t>Polish Academy of Sciences; Polish Academy of Sciences</t>
  </si>
  <si>
    <t>Polish Acad Sci, W Stefanski Inst Parasitol, Twarda 51-55, PL-00818 Warsaw, Poland.</t>
  </si>
  <si>
    <t>kzdzit@twarda.pan.pl</t>
  </si>
  <si>
    <t>Laskowski, Zdzislaw/V-5682-2018</t>
  </si>
  <si>
    <t>Laskowski, Zdzislaw/0000-0001-8542-6307</t>
  </si>
  <si>
    <t>WALTER DE GRUYTER GMBH</t>
  </si>
  <si>
    <t>GENTHINER STRASSE 13, D-10785 BERLIN, GERMANY</t>
  </si>
  <si>
    <t>0440-6605</t>
  </si>
  <si>
    <t>1336-9083</t>
  </si>
  <si>
    <t>Helminthologia</t>
  </si>
  <si>
    <t>Parasitology; Zoology</t>
  </si>
  <si>
    <t>883NB</t>
  </si>
  <si>
    <t>WOS:000226018300007</t>
  </si>
  <si>
    <t>Huang, YM; Amsler, MO; McClintock, JB; Amsler, CD; Baker, BJ</t>
  </si>
  <si>
    <t>Morphological and biological traits of Antarctic Peninsular macroalgae influencing distribution and abundance of associated amphipods</t>
  </si>
  <si>
    <t>INTEGRATIVE AND COMPARATIVE BIOLOGY</t>
  </si>
  <si>
    <t>Annual Meeting of the Society-for-Integrative-and-Comparative-Biology (SICB)</t>
  </si>
  <si>
    <t>JAN 04-08, 2005</t>
  </si>
  <si>
    <t>San Diego, CA</t>
  </si>
  <si>
    <t>Univ Alabama, Birmingham, AL USA; Univ S Florida, Tampa, FL 33620 USA</t>
  </si>
  <si>
    <t>University of Alabama System; University of Alabama Birmingham; State University System of Florida; University of South Florida</t>
  </si>
  <si>
    <t>yusheng@uab.edu</t>
  </si>
  <si>
    <t>Baker, Bill/N-4312-2019</t>
  </si>
  <si>
    <t>OXFORD UNIV PRESS INC</t>
  </si>
  <si>
    <t>CARY</t>
  </si>
  <si>
    <t>JOURNALS DEPT, 2001 EVANS RD, CARY, NC 27513 USA</t>
  </si>
  <si>
    <t>1540-7063</t>
  </si>
  <si>
    <t>1557-7023</t>
  </si>
  <si>
    <t>INTEGR COMP BIOL</t>
  </si>
  <si>
    <t>Integr. Comp. Biol.</t>
  </si>
  <si>
    <t>893LU</t>
  </si>
  <si>
    <t>WOS:000226721400248</t>
  </si>
  <si>
    <t>Posner, M; Smith, A; Adams, J; Kiss, AJ; Cheng, CHC</t>
  </si>
  <si>
    <t>Possible thermal adaptation in the small heat shock protein α a crystallin from Antarctic, temperate and tropical bony fish species</t>
  </si>
  <si>
    <t>Ashland Univ, Ashland, OH USA; Univ Illinois, Urbana, IL 61801 USA</t>
  </si>
  <si>
    <t>University System of Ohio; Ashland University; University of Illinois System; University of Illinois Urbana-Champaign</t>
  </si>
  <si>
    <t>mposner@ashland.edu</t>
  </si>
  <si>
    <t>Kiss, Andor J/E-9863-2016; Posner, Mason/J-9759-2019</t>
  </si>
  <si>
    <t>Kiss, Andor J/0000-0002-7508-0485; Posner, Mason/0000-0003-2817-3395</t>
  </si>
  <si>
    <t>WOS:000226721400454</t>
  </si>
  <si>
    <t>Treonis, AM; Wall, DH</t>
  </si>
  <si>
    <t>Soil nematodes and desiccation survival in the extreme arid environment of the Antarctic Dry Valleys</t>
  </si>
  <si>
    <t>Creighton Univ, Omaha, NE 68178 USA; Colorado State Univ, Ft Collins, CO 80523 USA</t>
  </si>
  <si>
    <t>Creighton University; Colorado State University</t>
  </si>
  <si>
    <t>atreonis@creighton.edu</t>
  </si>
  <si>
    <t>WOS:000226721401115</t>
  </si>
  <si>
    <t>Kiss, AJ; Devries, AL; Cheng, CHC</t>
  </si>
  <si>
    <t>Cold stable eye lens crystallins from the Antarctic nototheniid toothfish: A new model system to understand human cataracts</t>
  </si>
  <si>
    <t>akiss@life.uiuc.edu</t>
  </si>
  <si>
    <t>Kiss, Andor J/E-9863-2016</t>
  </si>
  <si>
    <t>Kiss, Andor J/0000-0002-7508-0485</t>
  </si>
  <si>
    <t>WOS:000226721401354</t>
  </si>
  <si>
    <t>Lockhart, SJ; Mooi, R; Jones, CD</t>
  </si>
  <si>
    <t>Benthic imagery of echinoids living in Antarctic shelf habitats</t>
  </si>
  <si>
    <t>Calif Acad Sci, San Francisco, CA 94118 USA</t>
  </si>
  <si>
    <t>California Academy of Sciences</t>
  </si>
  <si>
    <t>slockhart@calacademy.org</t>
  </si>
  <si>
    <t>WOS:000226721401383</t>
  </si>
  <si>
    <t>Mcclintock, JB; Amsler, MO; Amsler, CD; Southworth, KJ; Petrie, C; Baker, BJ</t>
  </si>
  <si>
    <t>Biochemical composition, energy content and chemical antifeedant and antifoulant defenses of the colonial antarctic ascidian Distaplia cylindrica</t>
  </si>
  <si>
    <t>mcclinto@uab.edu</t>
  </si>
  <si>
    <t>WOS:000226721401404</t>
  </si>
  <si>
    <t>Van Lipzig, NPM; Turner, J; Colwell, SR; Van Den Broeke, MR</t>
  </si>
  <si>
    <t>The near-surface wind field over the Antarctic continent</t>
  </si>
  <si>
    <t>INTERNATIONAL JOURNAL OF CLIMATOLOGY</t>
  </si>
  <si>
    <t>wind field; Antarctica; atmospheric modelling</t>
  </si>
  <si>
    <t>ATMOSPHERIC BOUNDARY-LAYER; KATABATIC WINDS; CLIMATE MODEL; REGIME; BUDGET; LAND; HEAT</t>
  </si>
  <si>
    <t>A 14 year integration with a regional atmospheric model has been used to determine the near-Surface climatological wind field over the Antarctic ice sheet at a horizontal grid spacing of 55 km. Previous maps of the near-Surface wind field were generally based on models ignoring the large-scale pressure-gradient forcing term in the momentum equation. Presently. state-of-the-art atmospheric models include all pressure-gradient forcing terms. Evaluation of our model output against in situ data shows that the model is able to represent realistically the observed increase in wind speed going, front the interior to the coast, as well as the observed wind direction at South Pole and Dumont d'Urville and the bimodal wind distribution at Halley. Copyright (C) 2004 Royal Meteorological Society.</t>
  </si>
  <si>
    <t>British Antarctic Survey, Cambridge CB3 0ET, England; Inst Marine &amp; Atmospher Res, Utrecht, Netherlands</t>
  </si>
  <si>
    <t>nicole@meteo.physik.uni-muenchen.de</t>
  </si>
  <si>
    <t>van Lipzig, Nicole/0000-0003-2899-4046; Van den Broeke, Michiel R./0000-0003-4662-7565; Turner, John/0000-0002-6111-5122</t>
  </si>
  <si>
    <t>WILEY</t>
  </si>
  <si>
    <t>HOBOKEN</t>
  </si>
  <si>
    <t>111 RIVER ST, HOBOKEN 07030-5774, NJ USA</t>
  </si>
  <si>
    <t>0899-8418</t>
  </si>
  <si>
    <t>1097-0088</t>
  </si>
  <si>
    <t>INT J CLIMATOL</t>
  </si>
  <si>
    <t>Int. J. Climatol.</t>
  </si>
  <si>
    <t>10.1002/joc.1090</t>
  </si>
  <si>
    <t>882BT</t>
  </si>
  <si>
    <t>WOS:000225914200008</t>
  </si>
  <si>
    <t>Fortunato, H</t>
  </si>
  <si>
    <t>Reproductive strategies in gastropods across the Panama seaway</t>
  </si>
  <si>
    <t>INVERTEBRATE REPRODUCTION &amp; DEVELOPMENT</t>
  </si>
  <si>
    <t>Symposium on Reproduction and Developmenr Patterns in Molluscs held at the World Congress of Malacology</t>
  </si>
  <si>
    <t>JUL 11-16, 2004</t>
  </si>
  <si>
    <t>Perth, AUSTRALIA</t>
  </si>
  <si>
    <t>mollusks; Gastropoda; larval development; Panama gateway</t>
  </si>
  <si>
    <t>GALAPAGOS-ISLANDS ECUADOR; REEF CORAL REPRODUCTION; LARVAL DEVELOPMENT; MARINE-INVERTEBRATES; EASTERN PACIFIC; COSTA-RICA; PROSOBRANCH GASTROPODS; SPECIES LONGEVITY; EGG SIZE; ECOLOGY</t>
  </si>
  <si>
    <t>Biogeographic patterns of marine organisms can be related to historical or ecological factors. In either case, an organism's dispersal capabilities may have an impact on rates of speciation, extinction, and species longevity. One way to assess these factors is to compare patterns and trends in developmental modes among closely related taxa across different environments. The Caribbean and the eastern Pacific differ greatly in primary productivity and seasonality. The latter is more seasonal and productive, and these differences have existed for several million years. Likewise, reproductive propagules (eggs, larvae) of echinoderms, corals, and bryozoans are smaller or mostly planktonic in the eastern Pacific when compared with the Caribbean. T his is probably due to the greater seasonality and higher productivity of the eastern Pacific, as opposed to the more stable, less productive Caribbean. This study used protoconch morphology to infer developmental patterns for 84 recent species of columbellid gastropods of the Strombina group, Conus, Oliva, and Olivella. Planktotrophy predominates within the eastern Pacific, whereas Caribbean species show mostly non-planktotrophic development. Thus mollusks exhibit the same differences between these two oceans as the other phyla. Most studies of evolutionary trends in modes of development have been done for north Atlantic and Mediterranean species. There, non-planktotrophic development increases with latitude and bathymetry. However, our data from the Eastern Pacific indicates that the widely reported tendency to evolve from planktotrophic to direct development may reflect changing environmental conditions in the Atlantic rather than an inevitable evolutionary trend. These results agree with a few studies for the south Atlantic and Antarctic regions that indicate that latitudinal and bathymetric constraints on developmental modes are probably much more complex than initially assumed. Moreover, the effects imposed by phylogeny on life histories can either direct or constrain the observed shifts in developmental types.</t>
  </si>
  <si>
    <t>Smithsonian Trop Res Inst, Balboa, Panama</t>
  </si>
  <si>
    <t>Smithsonian Institution; Smithsonian Tropical Research Institute</t>
  </si>
  <si>
    <t>Fortunato, H (corresponding author), Smithsonian Trop Res Inst, POB 169, Balboa, Panama.</t>
  </si>
  <si>
    <t>fortunae@ancon.si.edu</t>
  </si>
  <si>
    <t>INT SCIENCE SERVICES/BALABAN PUBLISHERS</t>
  </si>
  <si>
    <t>REHOVOT</t>
  </si>
  <si>
    <t>PO BOX 2039, REHOVOT 76120, ISRAEL</t>
  </si>
  <si>
    <t>0792-4259</t>
  </si>
  <si>
    <t>INVERTEBR REPROD DEV</t>
  </si>
  <si>
    <t>Invertebr. Reprod. Dev.</t>
  </si>
  <si>
    <t>2-3</t>
  </si>
  <si>
    <t>10.1080/07924259.2004.9652617</t>
  </si>
  <si>
    <t>Reproductive Biology; Zoology</t>
  </si>
  <si>
    <t>930DZ</t>
  </si>
  <si>
    <t>WOS:000229397300008</t>
  </si>
  <si>
    <t>Ebinghaus, R; Temme, C; Lindberg, SE; Scott, KJ</t>
  </si>
  <si>
    <t>Springtime accumulation of atmospheric mercury in polar ecosystems</t>
  </si>
  <si>
    <t>JOURNAL DE PHYSIQUE IV</t>
  </si>
  <si>
    <t>European Research Course on Atmospheres</t>
  </si>
  <si>
    <t>Grenoble, FRANCE</t>
  </si>
  <si>
    <t>ARCTIC AIR-POLLUTION; GASEOUS MERCURY; OZONE DEPLETION; PERSISTENT ORGANOCHLORINES; MARINE ECOSYSTEM; BOUNDARY-LAYER; TROPOSPHERE; SNOW; SUNRISE; CONTAMINATION</t>
  </si>
  <si>
    <t>Mercury and many of its compounds behave exceptionally in the environment due to their volatility, capability for methylation, and subsequent biomagnification in contrast with most of the other heavy metals. Long-range atmospheric transport of elemental mercury, its transformation to mote toxic methylmercury compounds, the ability to undergo photochemical reactions and their bioaccumulation in the aquatic food chain have made it a subject of global research activities. Atmospheric Mercury Depletion Events (AMDEs) during polar springtime have been experimentally observed in the Arctic and in the Antarctic. During these events Hg-0 and ozone concentrations are significantly depleted and well correlated. whereas concentrations of reactive gaseous mercury species (RGM) simultaneously increase. The main reaction mechanism and corresponding chemical and physical properties of involved species in polar regions are summarized in this work. Hg-0 is removed from the atmosphere and deposited onto the underlying surface snow. This paper focused on the fast, photochemically driven, oxidation of boundary-layer Hg-0, the influence of reactive halogen chemistry, and the resultant net input of mercury into the polar ecosystem during and after polar springtime. Several estimates of the size of the Arctic sink for newly deposited Hg range front approximate to 100 - 300 T/y. while estimates of the Antarctic sink are far more uncertain. The role of re-emission of elemental mercury front the snow surface is critically discussed.</t>
  </si>
  <si>
    <t>GKSS Forschungszentrum Geesthacht GmbH, Inst Coastal Res, D-21502 Geesthacht, Germany; Oak Ridge Natl Lab, Div Environm Sci, Oak Ridge, TN 37831 USA; Photuris, Winnipeg, MB R3G 2J6, Canada</t>
  </si>
  <si>
    <t>Helmholtz Association; Helmholtz-Zentrum Hereon; United States Department of Energy (DOE); Oak Ridge National Laboratory</t>
  </si>
  <si>
    <t>Ebinghaus, R (corresponding author), GKSS Forschungszentrum Geesthacht GmbH, Inst Coastal Res, Max Planck Str 1, D-21502 Geesthacht, Germany.</t>
  </si>
  <si>
    <t>ralf.ebinghaus@gkss.de</t>
  </si>
  <si>
    <t>E D P SCIENCES</t>
  </si>
  <si>
    <t>LES ULIS CEDEX A</t>
  </si>
  <si>
    <t>17, AVE DU HOGGAR, PA COURTABOEUF, BP 112, F-91944 LES ULIS CEDEX A, FRANCE</t>
  </si>
  <si>
    <t>1155-4339</t>
  </si>
  <si>
    <t>J PHYS IV</t>
  </si>
  <si>
    <t>J. Phys. IV</t>
  </si>
  <si>
    <t>10.1051/jp4:2004121013</t>
  </si>
  <si>
    <t>Physics, Multidisciplinary</t>
  </si>
  <si>
    <t>Physics</t>
  </si>
  <si>
    <t>892HD</t>
  </si>
  <si>
    <t>WOS:000226640000014</t>
  </si>
  <si>
    <t>Votier, SC; Bearhop, S; Ratcliffe, N; Phillips, RA; Furness, RW</t>
  </si>
  <si>
    <t>Predation by great skuas at a large Shetland seabird colony</t>
  </si>
  <si>
    <t>JOURNAL OF APPLIED ECOLOGY</t>
  </si>
  <si>
    <t>bioenergetics; discards; seabird conservation; Stercorarius skua</t>
  </si>
  <si>
    <t>FIELD METABOLIC-RATES; CATHARACTA-SKUA; FOOD AVAILABILITY; ECOLOGY; DIET; CONSUMPTION; DYNAMICS; TERNS</t>
  </si>
  <si>
    <t>1. Skuas are top predators in marine ecosystems and may have detrimental effects on seabird communities they prey upon. However, predation rates are poorly understood and poorly quantified. Using a bio-energetics model we estimate seabird predation by great skuas, Stercorarius skua, at a large UK colony (Hermaness, Shetland). We investigate the influence of dietary specialization and fishery management on predation and explore the effect of experimental removal of specialist bird predators. 2. Great skuas at Hermaness required 491.5 x 10(6) kJ and 546.6 x 10(6) kJ of energy in each of two breeding seasons. Breeding skuas fell into one of two groups: a small proportion (5%) of specialist bird predators or the vast majority (95%) that fed opportunistically on birds or specialized on fishery discards. During 1999, great skuas consumed approximate to80 000 kg of fish, which increased to over 90 000 kg in 2001. About 13 000 seabirds were consumed by great skuas each year, with 26-29% being consumed by specialist bird predators. 3. Although it is difficult to assess, great skuas appear to be having a negative impact on seabird populations. Altering model inputs to test differing scenarios revealed that reductions in fishery discards would result in increased seabird predation rates. However, proposed changes in fishery management over the period of the study did not reduce discarding rates, which instead increased. 4. Synthesis and applications. The use of a bioenergetics model reveals that great skua predation may negatively affect seabird populations. Availability of fishery discards is an important factor influencing seabird predation rates, but predicting the effect of changes in fishery management may be difficult in the short term. Specialist bird predators consume large quantities of seabird prey, but this is less significant at the population level. Although experimental removal of specialist bird predators may reduce predation at a minimal loss of skuas, it is unclear whether conspecifics may replace them and retain high rates of predation.</t>
  </si>
  <si>
    <t>Univ Glasgow, Inst Biomed &amp; Life Sci, Glasgow G12 8QQ, Lanark, Scotland; Queens Univ Belfast, Sch Biol &amp; Biochem, Ctr Med Biol, Belfast BT9 7BL, Antrim, North Ireland; Royal Soc Protect Birds, Sandy SG19 2NR, Beds, England; British Antarctic Survey, NERC, Cambridge CB3 0ET, England</t>
  </si>
  <si>
    <t>University of Glasgow; Queens University Belfast; Royal Society for Protection of Birds; UK Research &amp; Innovation (UKRI); Natural Environment Research Council (NERC); NERC British Antarctic Survey</t>
  </si>
  <si>
    <t>Univ Glasgow, Inst Biomed &amp; Life Sci, Graham Kerr Bldg, Glasgow G12 8QQ, Lanark, Scotland.</t>
  </si>
  <si>
    <t>s.votier@bio.gla.ac.uk</t>
  </si>
  <si>
    <t>Votier, Stephen/IUO-0154-2023; Bearhop, Stuart/G-3105-2012</t>
  </si>
  <si>
    <t>Votier, Stephen/0000-0002-0976-0167; Bearhop, Stuart/0000-0002-5864-0129</t>
  </si>
  <si>
    <t>0021-8901</t>
  </si>
  <si>
    <t>1365-2664</t>
  </si>
  <si>
    <t>J APPL ECOL</t>
  </si>
  <si>
    <t>J. Appl. Ecol.</t>
  </si>
  <si>
    <t>10.1111/j.0021-8901.2004.00974.x</t>
  </si>
  <si>
    <t>Biodiversity Conservation; Ecology</t>
  </si>
  <si>
    <t>878FT</t>
  </si>
  <si>
    <t>WOS:000225632800010</t>
  </si>
  <si>
    <t>Teoh, ML; Chu, WL; Marchant, H; Phang, SM</t>
  </si>
  <si>
    <t>Influence of culture temperature on the growth, biochemical composition and fatty acid profiles of six Antarctic microalgae</t>
  </si>
  <si>
    <t>JOURNAL OF APPLIED PHYCOLOGY</t>
  </si>
  <si>
    <t>5th Asia-Pacific Conference on Algal Biotechnology</t>
  </si>
  <si>
    <t>OCT 18-21, 2003</t>
  </si>
  <si>
    <t>Qingdao, PEOPLES R CHINA</t>
  </si>
  <si>
    <t>Antarctic microalgae; biochemical composition; Chlamydomonas; Chlorella; fatty acid profiles; global warming; Klebsormidium; Navicula; Stichococcus; temperature</t>
  </si>
  <si>
    <t>DIATOM; ECOSYSTEMS; RESPONSES; ALGAE</t>
  </si>
  <si>
    <t>The growth, biochemical composition and fatty acid profiles of six Antarctic microalgae cultured at different temperatures, ranging from 4, 6, 9, 14, 20 to 30 degrees C, were compared. The algae were isolated from seawater, freshwater, soil and snow samples collected during our recent expeditions to Casey, Antarctica, and are currently deposited in the University of Malaya Algae Culture Collection (UMACC). The algae chosen for the study were Chlamydomonas UMACC 229, Chlorella UMACC 234, Chlorella UMACC 237, Klebsormidium UMACC 227, NaviculaUMACC 231 and StichococcusUMACC 238. All the isolates could grow at temperatures up to 20 degrees C; three isolates, namely Navicula UMACC 231 and the two Chlorella isolates ( UMACC 234 and UMACC 237) grew even at 30 degrees C. Both Chlorella UMACC 234 and Stichococcus UMACC 238 had broad optimal temperatures for growth, ranging from 6 to 20 degrees C (mu = 0.19 - 0.22 day(-1)) and 4 to 14 degrees C (mu = 0.13 - 0.16 day(-1)), respectively. In contrast, optimal growth temperatures for Navicula UMACC 231 and Chlamydomonas UMACC 229 were 4 degrees C (mu = 0.34 day(-1)) and 6 - 9 degrees C (mu = 0.39 - 0.40 day(-1)), respectively. The protein content of the Antarctic algae was markedly affected by culture temperature. All except Navicula UMACC 231 and Stichococcus UMACC 238 contained higher amount of proteins when grown at low temperatures ( 6 - 9 degrees C). The percentage of PUFA, especially 20: 5 in Navicula UMACC 231 decreased with increasing culture temperature. However, the percentages of unsaturated fatty acids did not show consistent trend with culture temperature for the other algae studied.</t>
  </si>
  <si>
    <t>Univ Malaya, Inst Biol Sci, Kuala Lumpur 50603, Malaysia; Univ Malaya, Inst Postgrad Studies, Kuala Lumpur 50603, Malaysia; Int Med Univ, Kuala Lumpur 57000, Malaysia; Australian Antarctic Div, Kingston, Tas 7050, Australia</t>
  </si>
  <si>
    <t>Universiti Malaya; Universiti Malaya; International Medical University Malaysia; Australian Antarctic Division</t>
  </si>
  <si>
    <t>Univ Malaya, Inst Biol Sci, Kuala Lumpur 50603, Malaysia.</t>
  </si>
  <si>
    <t>phang@um.edu.my</t>
  </si>
  <si>
    <t>Phang, Siew Moi/A-7653-2008; Chu, Wan-Loy/A-6896-2011</t>
  </si>
  <si>
    <t>Teoh, Ming Li/0000-0001-7979-6045; Chu, Wan-Loy/0000-0002-1676-4131</t>
  </si>
  <si>
    <t>SPRINGER</t>
  </si>
  <si>
    <t>DORDRECHT</t>
  </si>
  <si>
    <t>VAN GODEWIJCKSTRAAT 30, 3311 GZ DORDRECHT, NETHERLANDS</t>
  </si>
  <si>
    <t>0921-8971</t>
  </si>
  <si>
    <t>1573-5176</t>
  </si>
  <si>
    <t>J APPL PHYCOL</t>
  </si>
  <si>
    <t>J. Appl. Phycol.</t>
  </si>
  <si>
    <t>10.1007/s10811-004-5502-3</t>
  </si>
  <si>
    <t>Biotechnology &amp; Applied Microbiology; Marine &amp; Freshwater Biology</t>
  </si>
  <si>
    <t>948NX</t>
  </si>
  <si>
    <t>WOS:000230724000002</t>
  </si>
  <si>
    <t>Nichols, DS; Miller, MR; Davies, NW; Goodchild, A; Raftery, M; Cavicchioli, R</t>
  </si>
  <si>
    <t>Cold adaptation in the antarctic archaeon Methanococcoides burtonii involves membrane lipid unsaturation</t>
  </si>
  <si>
    <t>JOURNAL OF BACTERIOLOGY</t>
  </si>
  <si>
    <t>METHANOGENIC ARCHAEON; THERMAL ADAPTATION; TEMPERATURE; ARCHAEBACTERIUM; PROTEINS; PSYCHROTOLERANT; PHOSPHOLIPIDS; TRANSDUCTION; MECHANISMS; BACTERIA</t>
  </si>
  <si>
    <t>Direct analysis of membrane lipids by liquid chromatography-electrospray mass spectrometry was used to demonstrate the role of unsaturation in ether lipids in the adaptation of Methanococcoides burtonii to low temperature. A proteomics approach using two-dimensional liquid chromatography-mass spectrometry was used to identify enzymes involved in lipid biosynthesis, and a pathway for lipid biosynthesis was reconstructed from the M. burtonii draft genome sequence. The major phospholipids were archaeol phosphatidylglycerol, archaeol phosphatidylinositol, hydroxyarchaeol phosphatidylglycerol, and hydroxyarchaeol phosphatidylinositol. All phospholipid classes contained a series of unsaturated analogues, with the degree of unsaturation dependent on phospholipid class. The proportion of unsaturated lipids from cells grown at 4degreesC was significantly higher than for cells grown at 23degreesC. 3-Hydroxy-3-methylglutaryl coenzyme A synthase, farnesyl diphosphate synthase, and geranylgeranyl diphosphate synthase were identified in the expressed proteome, and most genes involved in the mevalonate pathway and processes leading to the formation of phosphatidylinositol and phosphatidylglycerol were identified in the genome sequence. In addition, M. burtonii encodes CDP-inositol and CDP-glycerol transferases and a number of homologs of the plant geranylgeranyl reductase. It therefore appears that the unsaturation of lipids may be due to incomplete reduction of an archaeol precursor rather than to a desaturase mechanism. This study shows that cold adaptation in M. burtonii involves specific changes in membrane lipid unsaturation. It also demonstrates that global methods of analysis for lipids and proteomics linked to a draft genome sequence can be effectively combined to infer specific mechanisms of key biological processes.</t>
  </si>
  <si>
    <t>Univ New S Wales, Sch Biotechnol &amp; Biomol Sci, Sydney, NSW 2052, Australia; Univ New S Wales, Bioanalyt Mass Spectrometry Facil, Sydney, NSW 2052, Australia; Univ Tasmania, Australian Food Safety Ctr Excellence, Hobart, Tas, Australia; Univ Tasmania, Tasmanian Inst Agr Res, Hobart, Tas, Australia; Univ Tasmania, Cent Res Lab, Hobart, Tas, Australia</t>
  </si>
  <si>
    <t>University of New South Wales Sydney; University of New South Wales Sydney; University of Tasmania; University of Tasmania; University of Tasmania</t>
  </si>
  <si>
    <t>Univ New S Wales, Sch Biotechnol &amp; Biomol Sci, Sydney, NSW 2052, Australia.</t>
  </si>
  <si>
    <t>r.cavicchioli@unsw.edu.au</t>
  </si>
  <si>
    <t>Miller, Matthew/D-5982-2011; Miller, Matthew/AAO-1898-2020; Davies, Noel/J-7714-2014; Cavicchioli, Ricardo/D-4341-2013</t>
  </si>
  <si>
    <t>Miller, Matthew/0000-0002-5402-7466; Miller, Matthew/0000-0002-5402-7466; Davies, Noel/0000-0002-9624-0935; Nichols, David/0000-0002-8066-3132; Cavicchioli, Ricardo/0000-0001-8989-6402</t>
  </si>
  <si>
    <t>0021-9193</t>
  </si>
  <si>
    <t>1098-5530</t>
  </si>
  <si>
    <t>J BACTERIOL</t>
  </si>
  <si>
    <t>J. Bacteriol.</t>
  </si>
  <si>
    <t>10.1128/JB.186.24.8508-8515.2004</t>
  </si>
  <si>
    <t>Microbiology</t>
  </si>
  <si>
    <t>878TQ</t>
  </si>
  <si>
    <t>WOS:000225670300039</t>
  </si>
  <si>
    <t>Primo, C; Vázquez, E</t>
  </si>
  <si>
    <t>Zoogeography of the southern African ascidian fauna</t>
  </si>
  <si>
    <t>JOURNAL OF BIOGEOGRAPHY</t>
  </si>
  <si>
    <t>zoogeography; Ascidiacea; southern Africa</t>
  </si>
  <si>
    <t>BIOGEOGRAPHY; DIVERSITY</t>
  </si>
  <si>
    <t>Aim To describe the biogeography of the ascidian fauna of southern Africa, to compare the results obtained with those reported for other fauna and flora of the same region, and to speculate about the origin of ascidians in the region. Location Southern Africa extending over 4000 km from Mossamedes (15degrees S-12degrees E) to Inhaca Island (26degrees30' S-33degrees E), including Vema Seamount (31degrees40' S-8 degrees20' E), Amsterdam-Saint Paul Islands (38degrees S-77degrees30' E) and the Tristan-Gough Islands (38degrees S-12degrees20' W). Methods We constructed a presence/absence matrix of 168 species for 26 biogeographical divisions, 21 classical biogeographical regions described by Briggs (Marine zoogeography, McGraw-Hill, New York, 1974) and five provinces within the southern African region. We considered the following limits and divisions into provinces for the southern African region: Namibia, Namaqua, Agulhas and Natal as proposed by Branch et al. (Two oceans. A guide to the marine life of southern Africa, David Philip Publishers, 1994), and the West Wind Drift Islands province (WWD) according to Briggs (Global biogeography, Elsevier Health Sciences, Amsterdam, 1995). To examine the biogeographical structure, species and divisions were classified using cluster analysis (based on UPGMA as the aggregation algorithm) with the Bray-Curtis index of similarity. This classification was combined with MDS ordination. Main conclusions Four main groups were obtained from the analysis of affinities among species: (1) species present in the WWD, separated by a high percentage of endemisms and a low number of species with a southern African distribution. Moreover, in the light of the species distribution and the results of further analysis, which revealed that they are completely separated and not at all related to the southern African region, it appears that there are no close relationships among the different islands and seamounts of the West Wind Drift Island province. This province was therefore removed from the remaining analyses; (2) species with a wide distribution; (3) species of colder waters present in Namaqua and Agulhas provinces, a transitional temperate area in which gradual mixing and replacement of species negate previous hypotheses on the existence of a marked distributional break at Cape of Good Hope; (4) species of warmer waters related to Natal province. The classification into biogeographical components was dominated by the endemic (47%), Indo-Pacific (25%) and cosmopolitan (13%) components. The analysis of affinities among biogeographical areas separated Namibia from the rest of the southern African provinces and showed that it was related to some extent to the Antarctic region because of the cold-temperate character of the province and the low sampling effort; Namaqua, Agulhas and Natal were grouped together and found to be closely related to the Indo-West Pacific region. In general, our results were consistent with those obtained for other southern African marine invertebrates. The frequency distribution of solitary/colonial strategies among provinces confirmed the domination of colonial organisms in tropical regions and solitary organisms in colder regions. Finally, we speculate that the southern African ascidian fauna mainly comprises Indo-Pacific, Antarctic and eastern Atlantic ascidians.</t>
  </si>
  <si>
    <t>Univ Vigo, Fac Ciencias Mar, Dpto Ecol &amp; Biol Anim, Vigo 36310, Spain</t>
  </si>
  <si>
    <t>Universidade de Vigo</t>
  </si>
  <si>
    <t>Univ Vigo, Fac Ciencias Mar, Dpto Ecol &amp; Biol Anim, Vigo 36310, Spain.</t>
  </si>
  <si>
    <t>carprimo@uvigo.es</t>
  </si>
  <si>
    <t>Vázquez, Elsa/D-7082-2013; Primo, Carmen/F-5431-2015</t>
  </si>
  <si>
    <t>Vazquez, Elsa/0000-0003-0782-4734; Primo, Carmen/0000-0001-8619-1036</t>
  </si>
  <si>
    <t>0305-0270</t>
  </si>
  <si>
    <t>1365-2699</t>
  </si>
  <si>
    <t>J BIOGEOGR</t>
  </si>
  <si>
    <t>J. Biogeogr.</t>
  </si>
  <si>
    <t>10.1111/j.1365-2699.2004.01144.x</t>
  </si>
  <si>
    <t>Ecology; Geography, Physical</t>
  </si>
  <si>
    <t>Environmental Sciences &amp; Ecology; Physical Geography</t>
  </si>
  <si>
    <t>874NB</t>
  </si>
  <si>
    <t>WOS:000225356000010</t>
  </si>
  <si>
    <t>Polyakov, IV; Alekseev, GV; Timokhov, LA; Bhatt, US; Colony, RL; Simmons, HL; Walsh, D; Walsh, JE; Zakharov, VF</t>
  </si>
  <si>
    <t>Variability of the intermediate Atlantic water of the Arctic Ocean over the last 100 years</t>
  </si>
  <si>
    <t>JOURNAL OF CLIMATE</t>
  </si>
  <si>
    <t>SOUTHERN CANADIAN BASIN; SEA-SURFACE TEMPERATURE; VERTICAL HEAT-FLUX; ATMOSPHERIC CIRCULATION; NORDIC SEAS; ICE COVER; NORTHERN-HEMISPHERE; CYCLONE ACTIVITY; AIR-TEMPERATURE; OSCILLATION</t>
  </si>
  <si>
    <t>Recent observations show dramatic changes of the Arctic atmosphere-ice-ocean system, including a rapid warming in the intermediate Atlantic water of the Arctic Ocean. Here it is demonstrated through the analysis of a vast collection of previously unsynthesized observational data, that over the twentieth century Atlantic water variability was dominated by low-frequency oscillations (LFO) on time scales of 50-80 yr. Associated with this variability, the Atlantic water temperature record shows two warm periods in the 1930s-40s and in recent decades and two cold periods earlier in the century and in the 1960s-70s. Over recent decades, the data show a warming and salinification of the Atlantic layer accompanied by its shoaling and, probably, thinning. The estimate of the Atlantic water temperature variability shows a general warming trend; however, over the 100-yr record there are periods (including the recent decades) with short-term trends strongly amplified by multidecadal variations. Observational data provide evidence that Atlantic water temperature, Arctic surface air temperature, and ice extent and fast ice thickness in the Siberian marginal seas display coherent LFO. The hydrographic data used support a negative feedback mechanism through which changes of density act to moderate the inflow of Atlantic water to the Arctic Ocean, consistent with the decrease of positive Atlantic water temperature anomalies in the late 1990s. The sustained Atlantic water temperature and salinity anomalies in the Arctic Ocean are associated with hydrographic anomalies of the same sign in the Greenland-Norwegian Seas and of the opposite sign in the Labrador Sea. Finally, it is found that the Arctic air-sea-ice system and the North Atlantic sea surface temperature display coherent low-frequency fluctuations. Elucidating the mechanisms behind this relationship will be critical to an understanding of the complex nature of low-frequency variability found in the Arctic and in lower-latitude regions.</t>
  </si>
  <si>
    <t>Univ Alaska Fairbanks, Int Arctic Res Ctr, Fairbanks, AK 99775 USA; Arctic &amp; Antarctic Res Inst, St Petersburg 199226, Russia; USN, Res Lab, Stennis Space Ctr, MS 39529 USA</t>
  </si>
  <si>
    <t>University of Alaska System; University of Alaska Fairbanks; Arctic &amp; Antarctic Research Institute; United States Department of Defense; United States Navy; Naval Research Laboratory</t>
  </si>
  <si>
    <t>Univ Alaska Fairbanks, Int Arctic Res Ctr, POB 757335, Fairbanks, AK 99775 USA.</t>
  </si>
  <si>
    <t>igor@iarc.uaf.edu</t>
  </si>
  <si>
    <t>Walsh, John/GQI-2785-2022; Bhatt, Uma S/D-3674-2009</t>
  </si>
  <si>
    <t>Walsh, John/0000-0002-2510-8734; Bhatt, Uma/0000-0003-1056-3686; Walsh, John/0000-0001-9541-5927</t>
  </si>
  <si>
    <t>AMER METEOROLOGICAL SOC</t>
  </si>
  <si>
    <t>BOSTON</t>
  </si>
  <si>
    <t>45 BEACON ST, BOSTON, MA 02108-3693 USA</t>
  </si>
  <si>
    <t>0894-8755</t>
  </si>
  <si>
    <t>1520-0442</t>
  </si>
  <si>
    <t>J CLIMATE</t>
  </si>
  <si>
    <t>J. Clim.</t>
  </si>
  <si>
    <t>10.1175/JCLI-3224.1</t>
  </si>
  <si>
    <t>876MP</t>
  </si>
  <si>
    <t>WOS:000225501400001</t>
  </si>
  <si>
    <t>Bromwich, DH; Fogt, RL</t>
  </si>
  <si>
    <t>Strong trends in the skill of the ERA-40 and NCEP-NCAR reanalyses in the high and midlatitudes of the southern hemisphere, 1958-2001</t>
  </si>
  <si>
    <t>ANTARCTIC PRECIPITATION; VARIABILITY; SEA; OSCILLATION; CLIMATE; WINDS</t>
  </si>
  <si>
    <t>The European Centre for Medium-RangeWeather Forecasts (ECMWF) Re-Analysis (ERA-40) and the National Centers for Environmental Prediction-National Center for Atmospheric Research (NCEP-NCAR) reanalysis (NCEP1) data are compared with Antarctic and other mid- to high-latitude station observations for the complete years of overlap, 1958-2001. Overall, it appears that ERA-40 more closely follows the observations; however, a more detailed look at the presatellite era reveals many shortcomings in ERA-40, particularly in the austral winter. By calculating statistics in 5-yr moving windows for June-July-August (JJA), it is shown that ERA-40 correlations with observed MSLP and surface ( 2 m) temperatures are low and even negative during the mid-1960s. A significant trend in skill in ERA-40 is observed in conjunction with the assimilation of satellite data during winter, eventually reaching a high level of skill after 1978 that is superior to NCEP1. NCEP1 shows consistency in its correlation with observations throughout time in this season; however, the biases in the NCEP1 MSLP fields decrease significantly with time. Similar problems are also found in the 500-hPa geopotential height fields above the direct influences of the mountainous topography. The height differences between ERA-40 and NCEP1 over the South Pacific are substantial before the modern satellite era throughout the depth of the troposphere. The ability for ERA-40 to be more strongly constrained by the satellite data compared to NCEP1, which is largely constrained by the station observational network, suggests that the differing assimilation schemes between ERA-40 and NCEP1 lead to the large discrepancies seen here. Thus, both reanalyses must be used with caution over high southern latitudes during the nonsummer months prior to the assimilation of satellite sounding data.</t>
  </si>
  <si>
    <t>Ohio State Univ, Polar Meteorol Grp, Byrd Polar Res Ctr, Columbus, OH 43210 USA; Ohio State Univ, Dept Geog, Atmospher Sci Program, Columbus, OH 43210 USA</t>
  </si>
  <si>
    <t>University System of Ohio; Ohio State University; University System of Ohio; Ohio State University</t>
  </si>
  <si>
    <t>Bromwich, DH (corresponding author), Ohio State Univ, Polar Meteorol Grp, Byrd Polar Res Ctr, 1090 Carmack Rd, Columbus, OH 43210 USA.</t>
  </si>
  <si>
    <t>bromwich@polarmet1.mps.ohio-state.edu</t>
  </si>
  <si>
    <t>Bromwich, David H/C-9225-2016; Fogt, Ryan L/B-6989-2008</t>
  </si>
  <si>
    <t>Fogt, Ryan L/0000-0002-5398-3990</t>
  </si>
  <si>
    <t>10.1175/3241.1</t>
  </si>
  <si>
    <t>WOS:000225501400010</t>
  </si>
  <si>
    <t>Kiss, AJ; Mirarefi, AY; Ramakrishnan, S; Zukoski, CF; DeVries, AL; Cheng, CHC</t>
  </si>
  <si>
    <t>Cold-stable eye lens crystallins of the Antarctic nototheniid toothfish Dissostichus mawsoni Norman</t>
  </si>
  <si>
    <t>JOURNAL OF EXPERIMENTAL BIOLOGY</t>
  </si>
  <si>
    <t>lens crystallins; chaperone; Antarctic toothfish; Dissostichus mawsoni; bigeye tuna; cold adaptation; cold cataract; dynamic light scattering; alpha crystallin; gamma crystallin</t>
  </si>
  <si>
    <t>ALPHA-B-CRYSTALLIN; CHAPERONE-LIKE ACTIVITY; LIQUID PHASE-SEPARATION; RAINBOW-TROUT LENSES; INDEX OPTICAL-MODEL; HEAT-SHOCK PROTEINS; CALF LENS; GAMMA-CRYSTALLINS; A-CRYSTALLIN; ANTIFREEZE GLYCOPROTEIN</t>
  </si>
  <si>
    <t>The eye lenses of the Antarctic nototheniid fishes that inhabit the perennially freezing Antarctic seawater are transparent at -2degreesC, whereas the cold-sensitive mammalian and tropical fish lenses display cold-induced cataract at 20degreesC and 7degreesC, respectively. No cold-cataract occurs in the giant Antarctic toothfish Dissostichus mawsoni lens when cooled to temperatures as low as -12degreesC, indicating highly cold-stable lens proteins. To investigave this cold stability, we characterised the lens crystallin proteins of the Antarctic toothfish, in parallel with those of the sub-tropical bigeye tuna Thunnus obesus and the endothermic cow Bos taurus, representing three disparate thermal climes (-2degreesC, 18degreesC and 37degreesC, respectively). Sizing chromatography resolved their lens crystallins into three groups, alpha/beta(H), beta and gamma, with gamma crystallins being the most abundant (&gt;40%) lens proteins in fish, in contrast to the cow lens where they comprise only 19%. The upper thermal stability of these crystallin components correlated with the body temperature of the species. In vitro chaperone assays showed that fish a crystallin can protect same-species 7 crystallins from heat denaturation, as well as lysozyme from DTT-induced unfolding, and therefore are small Heat Shock Proteins (sHSP) like their mammalian counterparts. Dynamic light scattering measured an increase in size of alphagamma crystallin mixtures upon heating, which supports formation of the alphagamma complex as an integral part of the chaperone process. Surprisingly, in cross-species chaperone assays, tuna alpha crystallins only partly protected toothfish gamma crystallins, while cow alpha crystallins completely failed to protect, indicating partial and no alphagamma interaction, respectively. Toothfish gamma was likely to be the component that failed to interact, as the supernatant from a cow a plus toothfish gamma incubation could chaperone cow gamma crystallins in a subsequent heat incubation, indicating the presence of uncomplexed cow alpha. This suggests that the inability of toothfish gamma crystallins to fully complex with tuna alpha, and not at all with the cow a crystallins, may have its basis in adaptive changes in the protein that relate to the extreme cold-stability of the toothfish lens.</t>
  </si>
  <si>
    <t>Univ Illinois, Dept Anim Biol, Urbana, IL 61801 USA; Univ Illinois, Ctr Biophys &amp; Computat Biol, Urbana, IL 61801 USA; Univ Illinois, Dept Chem &amp; Biomol Engn, Urbana, IL 61801 USA</t>
  </si>
  <si>
    <t>University of Illinois System; University of Illinois Urbana-Champaign; University of Illinois System; University of Illinois Urbana-Champaign; University of Illinois System; University of Illinois Urbana-Champaign</t>
  </si>
  <si>
    <t>Univ Illinois, Dept Anim Biol, Urbana, IL 61801 USA.</t>
  </si>
  <si>
    <t>c-cheng@uiuc.edu</t>
  </si>
  <si>
    <t>COMPANY BIOLOGISTS LTD</t>
  </si>
  <si>
    <t>CAMBRIDGE</t>
  </si>
  <si>
    <t>BIDDER BUILDING, STATION RD, HISTON, CAMBRIDGE CB24 9LF, ENGLAND</t>
  </si>
  <si>
    <t>0022-0949</t>
  </si>
  <si>
    <t>1477-9145</t>
  </si>
  <si>
    <t>J EXP BIOL</t>
  </si>
  <si>
    <t>J. Exp. Biol.</t>
  </si>
  <si>
    <t>10.1242/jeb.01312</t>
  </si>
  <si>
    <t>Biology</t>
  </si>
  <si>
    <t>Life Sciences &amp; Biomedicine - Other Topics</t>
  </si>
  <si>
    <t>893RU</t>
  </si>
  <si>
    <t>WOS:000226737700019</t>
  </si>
  <si>
    <t>Lehman, N; Decker, DJ; Stewart, BS</t>
  </si>
  <si>
    <t>Divergent patterns of variation in major histocompatibility complex class II alleles among antarctic phocid pinnipeds</t>
  </si>
  <si>
    <t>JOURNAL OF MAMMALOGY</t>
  </si>
  <si>
    <t>Antarctica; crabeater seal; DQ alpha; genetic diversity; leopard seal; major histocompatibility complex; natural selection; pinnipeds; Ross seal; Weddell seal</t>
  </si>
  <si>
    <t>MOLECULAR POPULATION-GENETICS; PENGUINS PYGOSCELIS-ADELIAE; VIRUS-INFECTION; MHC; ANTIBODIES; ISLAND; POLYMORPHISM; EVOLUTION; GENES; DQA</t>
  </si>
  <si>
    <t>The 4 species of phocid pinnipeds that live in pack-ice habitats of the Antarctic have been relatively isolated from infectious diseases that are prevalent in mammals elsewhere. Consequently, patterns of genetic variability at key immune system loci in these seals might be primarily related to other selective factors correlative with interspecific differences in life history, demography, and ecological niches. To test that hypothesis, we investigated nucleotide-sequence variation in a 162-base pair region of DQalpha exon 2 in major histocompatibility complex (MHC) class II genes of Weddell seals (Leptonychotes weddellii), crabeater seals (Lobodon carcinophaga), Ross seals (Ommatophoca rossii), and leopard seals (Hydrurga leptonyx) from the Ross Sea of Antarctica. We found substantial differences in patterns of population genetic diversity among these seals. Crabeater seals were the most diverse, with 2 DQalpha loci, 39 distinct alleles among 30 seals, and at least 93% observed heterozygosity. Leopard seals were the least diverse, with only 1 allele detected in 13 seals. Weddell and Ross seals had intermediate diversity, with 11 alleles in 35 Weddell seals (89% observed heterozygosity) and 2 alleles in 42 Ross seals (21% observed heterozygosity). These patterns are congruent with extant knowledge of interspecific variation in life histories, population biology, and ecological niches of these species and consistent with previously reported patterns of microsatellite genetic variability. Moreover, our findings suggest that responses to past evolutionary pressures have differed in each species and that interspecific variation in future responses to introduced infectious diseases also may vary substantially.</t>
  </si>
  <si>
    <t>Hubbs SeaWorld Res Inst, San Diego, CA 92109 USA; Portland State Univ, Dept Chem, Portland, OR 97207 USA; Portland State Univ, Dept Biol, Portland, OR 97207 USA</t>
  </si>
  <si>
    <t>Portland State University; Portland State University</t>
  </si>
  <si>
    <t>Hubbs SeaWorld Res Inst, 2595 Ingraham St, San Diego, CA 92109 USA.</t>
  </si>
  <si>
    <t>bstewart@hswri.org</t>
  </si>
  <si>
    <t>Lehman, Niles/A-3434-2008; Lehman, Niles/ABF-7609-2021</t>
  </si>
  <si>
    <t>Lehman, Niles/0000-0002-9056-6600</t>
  </si>
  <si>
    <t>0022-2372</t>
  </si>
  <si>
    <t>1545-1542</t>
  </si>
  <si>
    <t>J MAMMAL</t>
  </si>
  <si>
    <t>J. Mammal.</t>
  </si>
  <si>
    <t>10.1644/BDW-010.1</t>
  </si>
  <si>
    <t>882PM</t>
  </si>
  <si>
    <t>WOS:000225950800023</t>
  </si>
  <si>
    <t>Bader, B; Schäfer, P</t>
  </si>
  <si>
    <t>Skeletal morphogenesis and growth check lines in the Antarctic bryozoan Melicerita obliqua</t>
  </si>
  <si>
    <t>JOURNAL OF NATURAL HISTORY</t>
  </si>
  <si>
    <t>Bryozoa; Cheilostomata; Melicerita obliqua; Antarctica; skeletal morphogenesis; growth check lines; seasonal growth variability</t>
  </si>
  <si>
    <t>BIVALVE YOLDIA-EIGHTSI; WEDDELL-SEA; SIGNY ISLAND; CHEILOSTOME BRYOZOANS; PARTICULATE MATTER; SEASONAL-VARIATION; ZOOID SIZE; PHYTOPLANKTON; REPRODUCTION; COLONY</t>
  </si>
  <si>
    <t>Skeletal morphology and colony growth pattern of the Antarctic bryozoan Melicerita obliqua from the eastern Weddell Sea, on the Weddell Sea shelf, have been investigated in order to test the hypothesis of a relationship between growth banding and the seasonal variability of the high Antarctic environment. Melicerita obliqua is a common endemic species on Antarctic shelves. The colonies are bifoliate-flattened and sabre-shaped, and are anchored with organic rootlets in the sediment. The most significant feature of the skeletal morphology is the segmentation of the colony caused by the formation of annual growth check lines. Formation of check lines occurs as a combination of thickened walls in the proximal part of the nodal autozooid and an oblong, thin-walled distal part. Both are separated by a back-fold of the frontal cryptocyst resulting in a narrow slit on the cryptocyst. Changes in the length of autozooids and segments indicate seasonal and inter-annual variations in the environmental factors. Within a segment, nodal autozooids are longest, whereas autozooids immediately proximal to the next node are shortest. The length of segments varies within a single colony but shows a slight decrease with colony age. Melicerita obliqua displays a slightly decreasing growth rate with increasing age, hinting at a limited life span fixed in the genetic programme. Individual colonies of M. obliqua reveal a maximum age of about 45 years. Seasonal growth patterns in the colony are expressed in segment formation with nodes and internodes, differences in autozooid length, and polypide degeneration/regeneration cycles. Sizes of segments within colonies are used to calculate colony growth rate. Variations in colony growth rate calculated from length increment of segments depict a pattern of longer and shorter segments indicating phytoplankton variability between the years.</t>
  </si>
  <si>
    <t>Univ Kiel, Inst Geosci, D-24118 Kiel, Germany</t>
  </si>
  <si>
    <t>University of Kiel</t>
  </si>
  <si>
    <t>Univ Kiel, Inst Geosci, Ludewig Meyn Str 14, D-24118 Kiel, Germany.</t>
  </si>
  <si>
    <t>bb@gpi.uni-kiel.de</t>
  </si>
  <si>
    <t>TAYLOR &amp; FRANCIS LTD</t>
  </si>
  <si>
    <t>ABINGDON</t>
  </si>
  <si>
    <t>2-4 PARK SQUARE, MILTON PARK, ABINGDON OR14 4RN, OXON, ENGLAND</t>
  </si>
  <si>
    <t>0022-2933</t>
  </si>
  <si>
    <t>1464-5262</t>
  </si>
  <si>
    <t>J NAT HIST</t>
  </si>
  <si>
    <t>J. Nat. Hist.</t>
  </si>
  <si>
    <t>10.1080/00222930310001657685</t>
  </si>
  <si>
    <t>Biodiversity Conservation; Ecology; Zoology</t>
  </si>
  <si>
    <t>Biodiversity &amp; Conservation; Environmental Sciences &amp; Ecology; Zoology</t>
  </si>
  <si>
    <t>827WC</t>
  </si>
  <si>
    <t>WOS:000221933400007</t>
  </si>
  <si>
    <t>Pocock, T; Lachance, MA; Pröschold, T; Priscu, JC; Kim, SS; Huner, NPA</t>
  </si>
  <si>
    <t>Identification of a psychrophilic green alga from Lake Bonney Antarctica:: Chlamydomonas raudensis Ettl. (UWO 241) Chlorophyceae</t>
  </si>
  <si>
    <t>JOURNAL OF PHYCOLOGY</t>
  </si>
  <si>
    <t>Antarctica; Chlamydomonas; Chlamydomonas hedleyi; Chlamydomonas noctigama; Chlamydomonas raudensis; Chlamydomonas subcaudata; Lake Bonney; phototaxis; phylogeny; psychrophile; systematics; UWO 241</t>
  </si>
  <si>
    <t>OPTICAL-PROPERTIES; PHYTOPLANKTON; TEMPERATURE; CHLOROMONAS; PHYLOGENY; APPARATUS; MODEL; DNA</t>
  </si>
  <si>
    <t>An unusual psychrophilic green alga was isolated from the deepest portion of the photic zone (&lt;0.1% of incident PAR) at a depth of 17 m in the permanently ice-covered lake, Lake Bonney, Antarctica. Here we identify and report the first detailed morphological and molecular examination of this Antarctic green alga, which we refer to as strain UWO 241. To determine the taxonomic identity, UWO 241 was examined using LM and TEM and partial sequences of the small subunit (SSU), internal transcribed spacer (ITS) 1 and ITS2 regions (including the 5.8S) of the ribosomal operon. These data were compared with those of previously described taxa. We identified UWO 241 as a strain of Chlamydomonas raudensis Ettl (SAG 49.72). Chlamydomonas raudensis is closely related to C. noctigama Korshikov (UTEX 2289) as well as foraminifer symbionts such as C. hedleyi Lee, Crockett, Hagen et Stone (ATCC 50216). In addition, its morphology, pigment complement, and phototactic response to temperature are reported. Chlamydomonas raudensis (UWO 241) contains relatively high levels of lutein and low chl a/b ratios (1.6+/-0.15), and the phototactic response was temperature dependent. The Antarctic isolate (UWO 241) included the typical photosynthetic pigments found in all chl a/b containing green algae. It possesses a small eyespot and, interestingly, was positively phototactic only at higher nonpermissive growth temperatures. Comparison of SSU and ITS rDNA sequences confirms the identification of the strain UWO 241 as C. raudensis Ettl and contradicts the previous designation as C. subcaudata Wille.</t>
  </si>
  <si>
    <t>Univ Western Ontario, Dept Biol, London, ON, Canada; Univ Western Ontario, Biotron, London, ON, Canada; Univ Cologne, Inst Bot, Lehrstuhl 1, D-50931 Cologne, Germany; Montana State Univ, Dept Biol Sci, Bozeman, MT 59717 USA; Univ Toronto, Dept Med Biophys, Toronto, ON, Canada</t>
  </si>
  <si>
    <t>Western University (University of Western Ontario); Western University (University of Western Ontario); University of Cologne; Montana State University System; Montana State University Bozeman; University of Toronto</t>
  </si>
  <si>
    <t>Univ Western Ontario, Dept Biol, London, ON, Canada.</t>
  </si>
  <si>
    <t>nhuner@uwo.ca</t>
  </si>
  <si>
    <t>Proeschold, Thomas/0000-0002-7858-0434</t>
  </si>
  <si>
    <t>0022-3646</t>
  </si>
  <si>
    <t>1529-8817</t>
  </si>
  <si>
    <t>J PHYCOL</t>
  </si>
  <si>
    <t>J. Phycol.</t>
  </si>
  <si>
    <t>10.1111/j.1529-8817.2004.04060.x</t>
  </si>
  <si>
    <t>Plant Sciences; Marine &amp; Freshwater Biology</t>
  </si>
  <si>
    <t>878GB</t>
  </si>
  <si>
    <t>WOS:000225633600015</t>
  </si>
  <si>
    <t>Sen Gupta, A; England, MH</t>
  </si>
  <si>
    <t>Evaluation of interior circulation in a high-resolution global ocean model. Part I: Deep and bottom waters</t>
  </si>
  <si>
    <t>JOURNAL OF PHYSICAL OCEANOGRAPHY</t>
  </si>
  <si>
    <t>BOUNDARY-LAYER PARAMETERIZATION; EQUATORIAL ATLANTIC; CHLOROFLUOROCARBON UPTAKE; GENERAL-CIRCULATION; STEADY-STATE; NORTH; INTERMEDIATE; VARIABILITY; DISTRIBUTIONS; SIMULATIONS</t>
  </si>
  <si>
    <t>Global watermass ventilation pathways and time scales are investigated using an eddy permitting (8) offline tracer model. Unlike previous Lagrangian trajectory studies, here an offline model based on a complete tracer equation that includes three-dimensional advection and mixing is employed. In doing so, the authors are able to meaningfully simulate chlorofluorocarbon (CFC) uptake and assess model skill against observation. This is the first time an eddy-permitting model has been subjected to such an assessment of interior ocean ventilation. The offline model is forced by seasonally varying prescribed velocity, temperature, and salinity fields of a state-of-the-art ocean general circulation model. A seasonally varying mixed layer parameterization is incorporated to account for the degradation of surface convection processes resulting from the temporal averaging. A series of CFC simulations are assessed against observations to investigate interdecadal-time-scale ventilation using a variety of mixed layer criteria. Simulated tracer inventories and penetration depths are in good agreement with observations, especially for thermocline, mode, and surface waters. Deep water from the Labrador Sea is well represented, forming a distinct deep western boundary current that branches at the equator, although concentrations are lower than observed. The formation of bottom water, which occurs around the Antarctic margin, is also generally too weak, although there is excellent qualitative agreement with observations in the region of the Ross and Weddell Seas. Multicentury ventilation of the outflow of North Atlantic Deep Water and bottom water from the Antarctic Margin are investigated using 1000-yr passive tracer experiments with specified interior source regions. The model captures many of the detailed pathways evident from observations, with much of the discrepancy accounted for by differences between actual and modeled topography. A comparison between model-derived tracer age and Delta(14)C advection age provides a semiquantitative assessment of model skill at these longer time scales.</t>
  </si>
  <si>
    <t>Univ New S Wales, Sch Math, Ctr Environm Modelling &amp; Predict, Sydney, NSW 2052, Australia</t>
  </si>
  <si>
    <t>University of New South Wales Sydney</t>
  </si>
  <si>
    <t>Univ New S Wales, Sch Math, Ctr Environm Modelling &amp; Predict, Sydney, NSW 2052, Australia.</t>
  </si>
  <si>
    <t>alexg@maths.unsw.edu.au</t>
  </si>
  <si>
    <t>England, Matthew/A-7539-2011; Sen Gupta, Alexander/B-7995-2011</t>
  </si>
  <si>
    <t>England, Matthew/0000-0001-9696-2930; Sen Gupta, Alexander/0000-0001-5226-871X</t>
  </si>
  <si>
    <t>0022-3670</t>
  </si>
  <si>
    <t>1520-0485</t>
  </si>
  <si>
    <t>J PHYS OCEANOGR</t>
  </si>
  <si>
    <t>J. Phys. Oceanogr.</t>
  </si>
  <si>
    <t>10.1175/JPO2651.1</t>
  </si>
  <si>
    <t>889RA</t>
  </si>
  <si>
    <t>WOS:000226458900003</t>
  </si>
  <si>
    <t>Warren, JD; Demer, DA; Mcgehee, DE; Di Ment, R; Borsani, JF</t>
  </si>
  <si>
    <t>Zooplankton in the Ligurian Sea: Part II. Exploration of their physical and biological forcing functions during summer 2000</t>
  </si>
  <si>
    <t>JOURNAL OF PLANKTON RESEARCH</t>
  </si>
  <si>
    <t>ANTARCTIC KRILL; ABUNDANCE; DISPERSION; WHALES</t>
  </si>
  <si>
    <t>A survey of the biological and physical oceanography of the Ligurian Sea was conducted in the late summer of 2000. Forty-one stations were sampled for nutrients, oxygen, fluorescence and hydrographic information. Acoustic backscatter measurements were used to estimate abundance of small (&lt;5 mm) zooplankton biovolume versus depth and the distribution of northern krill, Meganyctiphanes norvegica. Net-tow and underwater video data were collected to identify the zooplankton present. These data were used to analyze the Ligurian Sea ecogsystem for physical and biological linkages that control zooplankton abundance and distribution. Results are compared with those from a similar study conducted in 1999. Hydrogrophic sampling showed a dome of dense water in the southwestern middle of the basin. The highest chlorophyll a (Chl a) concentrations were measured in this area, while small zooplankton biovolume was evenly distributed throughout the survey. Integrated values of Chl a and small zooplankton biovolume in 2000 were greater than in 1999. Meganyctiphanes norvegica, siphomphores and salps were the dominant components Of the macrozooplankton population in the upper 200 in. In the sampled depth strata, siphonophore abundance did not change during the day, while M. norvegica were only caught at night. Acoustic backscatter data show that higher densities of M. norvegica occurred in deeper water and in the western and southwestern areas of the Ligurian Sea.</t>
  </si>
  <si>
    <t>Woods Hole Oceanog Inst, Woods Hole, MA 02543 USA; SW Fisheries Sci Ctr, La Jolla, CA 92037 USA; BAE Syst, San Diego, CA 92123 USA; Ist Cent Ric Sci &amp; Tecnol Applicata Al Mare, I-00166 Rome, Italy</t>
  </si>
  <si>
    <t>Woods Hole Oceanographic Institution; National Oceanic Atmospheric Admin (NOAA) - USA; Bae Systems</t>
  </si>
  <si>
    <t>Long Isl Univ, Southampton Coll, 239 Montauk Highway, Southampton, NY 11968 USA.</t>
  </si>
  <si>
    <t>joe.warren@liu.edu</t>
  </si>
  <si>
    <t>Warren, Joseph/Y-4078-2019; , David/ABC-8990-2022</t>
  </si>
  <si>
    <t>, David/0000-0001-5083-8854</t>
  </si>
  <si>
    <t>0142-7873</t>
  </si>
  <si>
    <t>1464-3774</t>
  </si>
  <si>
    <t>J PLANKTON RES</t>
  </si>
  <si>
    <t>J. Plankton Res.</t>
  </si>
  <si>
    <t>10.1093/plankt/fbh129</t>
  </si>
  <si>
    <t>Marine &amp; Freshwater Biology; Oceanography</t>
  </si>
  <si>
    <t>900SB</t>
  </si>
  <si>
    <t>WOS:000227233500005</t>
  </si>
  <si>
    <t>Pane, L; Feletti, M; Francomacaro, B; Mariottini, GL</t>
  </si>
  <si>
    <t>Summer coastal zooplankton biomass and copepod community structure near the Italian Terra Nova Base (Terra Nova Bay, Ross Sea, Antarctica)</t>
  </si>
  <si>
    <t>LIFE-CYCLE STRATEGIES; RECEDING ICE-EDGE; WEDDELL SEA; CALANUS-PROPINQUUS; SOUTHERN-OCEAN; CALANOIDES-ACUTUS; RHINCALANUS-GIGAS; EUPHAUSIA-CRYSTALLOROPHIAS; MESOZOOPLANKTON COMMUNITY; ENVIRONMENTAL-CONDITIONS</t>
  </si>
  <si>
    <t>The structure of the zooplankton biotic communi. 0 and of copepod population in the coastal area of Terra Nova Bay (Ross Sea, Antarctica) was investigated during the 10th Italian Antarctic Expedition (199411995). Zooplankton biotic community consisted mainly of pteropods (Limacina helicina and Clione antarctica), Cyclopoid (Oithona similis), Poecilostomatoid (Oncaea curvata) and Calanoid (Ctenocalanus vanus, Paraeuchaeta antarctica, Metridia gerlachei and Stephos longipes) copepods, ostracods, larval poylchaetes and larval euphausiids. Zooplanklon abundance ranged from 48.1 ind m(-3) to 5968.9 ind m(-3), and copepod abundance ranged from 45.2 ind m(-3) to 3965.3 ind m(-3). The highest peak of zooplankton abundance was observed between 25 in and the surface and was mainly due to the contribution of O. similis, O. curvata and C. vanus. Zooplankton biomass ranged from 5.28 mg m(-3) to 13.04 mg m(-3) dry weight; the maximum value was observed between 25 in and the surface. Total lipid content varied from 216.44 to 460.73 mg g(-1) dry weight.</t>
  </si>
  <si>
    <t>Univ Genoa, Dipartimento Biol Sperimentale Ambientale &amp; Appli, I-16132 Genoa, Italy; Reg Liguria Assessorato Agr &amp; Turismo, I-16121 Genoa, Italy</t>
  </si>
  <si>
    <t>Pane, L (corresponding author), Univ Genoa, Dipartimento Biol Sperimentale Ambientale &amp; Appli, Viale Benedetto XV,5, I-16132 Genoa, Italy.</t>
  </si>
  <si>
    <t>pane@unige.it</t>
  </si>
  <si>
    <t>Mariottini, Gian Luigi/A-9336-2008</t>
  </si>
  <si>
    <t>Mariottini, Gian Luigi/0000-0003-4193-8305</t>
  </si>
  <si>
    <t>10.1093/plankt/fbh135</t>
  </si>
  <si>
    <t>WOS:000227233500010</t>
  </si>
  <si>
    <t>Satellite-linked dive recorders provide insights into the reproductive strategies of crabeater seals (Lobodon carcinophagus)</t>
  </si>
  <si>
    <t>JOURNAL OF ZOOLOGY</t>
  </si>
  <si>
    <t>behaviour; crabeater seal; Lobodon carcinophagus; reproductive strategy; satellite-linked dive recorders</t>
  </si>
  <si>
    <t>ANTARCTICA</t>
  </si>
  <si>
    <t>Insights into the reproductive strategies of crabeater seals Lobodon carcinophagus were obtained from satellite-linked dive recorders deployed during the breeding season. All of the three females and seven males on which instruments were deployed hauled out continuously for extended periods of up to 24 days. The duration of extended haulout is consistent with a lactation period of around 3 weeks. In two cases where dive recorders were deployed on a male and female in the same group, the two animals stayed together on the ice continuously and entered the water at exactly the same time when extended haulout ceased. In both cases the male and female became geographically separated within a short time after entering the water, indicating that the association did not last beyond the period on the ice. Some males had multiple periods of extended haulout, suggesting they may try to find more than one female with which to mate. An optimal reproductive strategy with regard to the time spent on the ice may balance the conflicting needs of a short time imposed by the availability of breeding habitat and a long time to increase the reproductive success of males and females by finding more, or choosing between, mates.</t>
  </si>
  <si>
    <t>0952-8369</t>
  </si>
  <si>
    <t>J ZOOL</t>
  </si>
  <si>
    <t>J. Zool.</t>
  </si>
  <si>
    <t>10.1017/s0952836904005928</t>
  </si>
  <si>
    <t>878TE</t>
  </si>
  <si>
    <t>WOS:000225668900007</t>
  </si>
  <si>
    <t>Soto, KH; Trites, AW; Arias-Schreiber, M</t>
  </si>
  <si>
    <t>The effects of prey availability on pup mortality and the timing of birth of South American sea lions (Otaria flavescens) in Peru</t>
  </si>
  <si>
    <t>South American sea lion; Otaria flavescens; El Nino; La Nina; pup mortality; timing of birth; birth rates</t>
  </si>
  <si>
    <t>ANTARCTIC FUR SEALS; REPRODUCTIVE SYNCHRONY; EUMETOPIAS-JUBATUS; HALICHOERUS-GRYPUS; FOOD AVAILABILITY; BODY CONDITION; BEHAVIOR; ISLAND; ALASKA; AGE</t>
  </si>
  <si>
    <t>Pup mortality and the timing of birth of South American sea lions Otaria flavescens were investigated to determine the possible relationship between fluctuations in prey availability in the Peruvian upwelling ecosystem and current and future reproductive success of sea lions during six consecutive breeding seasons. Our study from 1997 to 2002 encompassed the strongest El Nino on record and one La Nina event. Pup mortality ranged from 13% before El Nino to 100% during El Nino, and was negatively correlated with prey availability. Abortions were also more frequent when prey availability was low. However, pup mortality remained high following El Nino due to the punctuated short-term effects it had on population dynamics and subsequent maternal behaviour. Births occurred later in the season after years of low food availability and earlier following years of high food availability. The peak of pupping occurred around the peak of mortality in all years, and may have been the product of intensive competition between bulls at the peak of the breeding season. The stronger and more frequent El Ninos that appear to be occurring along the Peruvian coast may produce significant stochastic changes in future births and pup mortality, which may place the vulnerable South American sea lion population in Peru at greater risk.</t>
  </si>
  <si>
    <t>Univ British Columbia, Marine Mammal Res Unit, Fisheries Ctr, Vancouver, BC V6T 1Z4, Canada; Univ British Columbia, Dept Zool, Vancouver, BC V6T 1Z4, Canada; Inst Mar Del Peru, Callao, Peru</t>
  </si>
  <si>
    <t>University of British Columbia; University of British Columbia; Instituto del Mar del Peru</t>
  </si>
  <si>
    <t>Soto, KH (corresponding author), Univ British Columbia, Marine Mammal Res Unit, Fisheries Ctr, 6248 Biol Sci Rd, Vancouver, BC V6T 1Z4, Canada.</t>
  </si>
  <si>
    <t>soto@zoology.ubc.ca</t>
  </si>
  <si>
    <t>Schreiber, Milena Arias/AAK-4524-2021; Trites, Andrew/K-5648-2012</t>
  </si>
  <si>
    <t>Trites, Andrew/0000-0003-0342-5322</t>
  </si>
  <si>
    <t>WILEY-BLACKWELL</t>
  </si>
  <si>
    <t>1469-7998</t>
  </si>
  <si>
    <t>10.1017/s0952836904005965</t>
  </si>
  <si>
    <t>WOS:000225668900010</t>
  </si>
  <si>
    <t>Xie, XL; Chen, QX; Lin, JC; Wang, Y</t>
  </si>
  <si>
    <t>Purification and some properties of β-N-acetyl-D-glucosaminidase from prawn (Penaeus vannamei)</t>
  </si>
  <si>
    <t>MARINE BIOLOGY</t>
  </si>
  <si>
    <t>ANTARCTIC KRILL; BOMBYX-MORI; SILKWORM; ENZYME</t>
  </si>
  <si>
    <t>The beta-N-acetyl-D-glucosaminidase ( NAGase, EC 3.2.1.52) from prawn ( Penaeus vannamei) was purified by extraction with 30% ethanol solution and ammonium sulfate fractionation, then chromatographed on Sephadex G-100 followed by DEAE-cellulose (DE-32) columns. The purified enzyme determined to be homogeneous by polyacrylamide gel electrophoresis ( PAGE) and SDS-PAGE. The specific activity of the purified enzyme was 1,560 U mg(-1). Enzyme molecular weight was determined to be 105,000 Da; it contained two subunits of the same mass ( 45,000 Da). The pI value was calculated to be 4.8 by isoelectric focusing. The optimum pH and optimum temperature of the enzyme for the hydrolysis of pNP-beta-D-GlcNAc ( enzyme substrate) were determined to be pH 5.2 and 45 degreesC, respectively. The behavior of the enzyme during hydrolysis of pNP-beta-D-GlcNAc followed Michaelis - Menten kinetics, with K-m = 0.254 mM and V-m = 9.438 muM min(-1), at pH 5.2 and 37 degreesC. The stability of the enzyme was investigated, and the results showed that the enzyme was stable in a pH range from 4.2 to 10.0 and at temperatures &lt; 40 degrees C. The effects of metal ions on the enzyme were also studied. Li+, Na+ and K+ had no influence on enzyme activity. Mg2+, Ca2+ and Mn2+ activated the enzyme, while Ba2+, Zn2+, Co2+, Cd2+, Hg2+, Pb2+ Cu2+, Fe3+ and Al3+ showed various degrees of inhibitory effects on the enzyme.</t>
  </si>
  <si>
    <t>Chen, QX/G-4600-2010</t>
  </si>
  <si>
    <t>SPRINGER HEIDELBERG</t>
  </si>
  <si>
    <t>HEIDELBERG</t>
  </si>
  <si>
    <t>TIERGARTENSTRASSE 17, D-69121 HEIDELBERG, GERMANY</t>
  </si>
  <si>
    <t>0025-3162</t>
  </si>
  <si>
    <t>1432-1793</t>
  </si>
  <si>
    <t>MAR BIOL</t>
  </si>
  <si>
    <t>Mar. Biol.</t>
  </si>
  <si>
    <t>10.1007/s00227-004-1425-4</t>
  </si>
  <si>
    <t>Marine &amp; Freshwater Biology</t>
  </si>
  <si>
    <t>875HH</t>
  </si>
  <si>
    <t>WOS:000225410400012</t>
  </si>
  <si>
    <t>McCafferty, DJ; Walker, TR; Boyd, IL</t>
  </si>
  <si>
    <t>Using time-depth-light recorders to measure light levels experienced by a diving marine mammal</t>
  </si>
  <si>
    <t>ANTARCTIC FUR SEALS; NORTHERN ELEPHANT SEALS; ARCTOCEPHALUS-GAZELLA; BIOOPTICAL PROPERTIES; BEHAVIOR; WATERS; OCEAN; MIGRATIONS</t>
  </si>
  <si>
    <t>This study examined the feasibility of using time-depth-light recorders (TDLRs) to measure light levels experienced by a diving marine mammal. TDLRs were deployed on ten female Antarctic fur seals (Arctocephalus gazella) at Bird Island, South Georgia (54degrees00 'S 38degrees02'W) in the 1994 - 1995 austral summer. Depth and light measurements were made during 11 foraging trips which lasted on average ( +/- SE) 7.1 +/- 0.7 days. A total of 25,657 dives were recorded with a mean dive depth and duration of 18.0 +/- 3.6 m and 49.5 +/- 6.9 s, respectively. Depending on time of day, fur seals experienced on average 6 - 57% of the surface illumination when diving. Illuminance ranged from full sunlight (10(4) lx) at the surface to minimum starlight (10(-6) lx) at night and during deep daytime dives. TDLRs recorded strong light attenuation in the top 50 m of the water column. The mean attenuation coefficient was 0.140 +/- 0.014 m(-1), which was in the upper range of values measured by ship surveys at South Georgia. These findings suggest that TDLRs may be a useful method of obtaining information on the biooptical properties of the ocean where fur seals forage. Development of sensors with appropriate spectral sensitivity and suitable resolution at low light levels is recommended to improve the capability of these devices for the study of marine mammals.</t>
  </si>
  <si>
    <t>Univ Glasgow, Dept Adult &amp; Continuing Educ, Glasgow G3 6NH, Lanark, Scotland; Dalhousie Univ, Dept Oceanog, Halifax, NS B3H 4J1, Canada; Univ St Andrews, Gatty Marine Lab, Sea Mammal Res Unit, St Andrews KY16 8LB, Fife, Scotland</t>
  </si>
  <si>
    <t>University of Glasgow; Dalhousie University; University of St Andrews</t>
  </si>
  <si>
    <t>McCafferty, DJ (corresponding author), Univ Glasgow, Dept Adult &amp; Continuing Educ, 11 Eldon St, Glasgow G3 6NH, Lanark, Scotland.</t>
  </si>
  <si>
    <t>d.mccafferty@educ.gla.ac.uk</t>
  </si>
  <si>
    <t>Walker BSc, MPhil, PhD, Tony R./ABA-4581-2020</t>
  </si>
  <si>
    <t>Walker BSc, MPhil, PhD, Tony R./0000-0001-9008-0697; McCafferty, Dominic/0000-0002-3079-3326</t>
  </si>
  <si>
    <t>233 SPRING STREET, NEW YORK, NY 10013 USA</t>
  </si>
  <si>
    <t>10.1007/s00227-004-1428-1</t>
  </si>
  <si>
    <t>WOS:000225410400017</t>
  </si>
  <si>
    <t>Lewis, PN; Riddle, MJ; Hewitt, CL</t>
  </si>
  <si>
    <t>Management of exogenous threats to Antarctica and the sub-Antarctic islands: balancing risks from TBT and non-indigenous marine organisms</t>
  </si>
  <si>
    <t>MARINE POLLUTION BULLETIN</t>
  </si>
  <si>
    <t>TBT; bioinvasions; Antarctica; sub-Antarctic islands; fouling; antifouling</t>
  </si>
  <si>
    <t>SOUTHERN-OCEAN; BIOLOGICAL INVASIONS; BIODIVERSITY; ATLANTIC</t>
  </si>
  <si>
    <t>The discovery of high levels of tributyltin compounds in Antarctic marine sediments has prompted managers to consider the banning of such substances in this region. We propose that the banning of antifouling coatings may result in an increase in the risk of non-indigenous species invasions. Our studies show that un-treated vessels carry a more diverse community of fouling organisms than treated hulls on which fouling is restricted to specific untreated niches. Up to 40% of the species recruited to the hulls of Southern Ocean vessels are species with invasive histories. Viable fouling assemblages can survive prolonged voyages to high-latitude coastlines, yet passage through sea-ice may remove fouling communities due to mechanical abrasion reducing the hazard of introductions to ice-bound coastlines. The banning of antifouling compounds may be of particular concern for the ice-free sub-Antarctic islands which represent a common anchorage point for vessels on-route to Antarctica. (C) 2004 Elsevier Ltd. All rights reserved.</t>
  </si>
  <si>
    <t>Univ Tasmania, Inst Antarctic &amp; So Ocean Studies, Hobart, Tas 7001, Australia; Australian Antarctic Div, Kingston, Tas 7050, Australia; New Zealand Minist Fisheries, Wellington 6001, New Zealand</t>
  </si>
  <si>
    <t>University of Tasmania; Australian Antarctic Division</t>
  </si>
  <si>
    <t>Univ Tasmania, Inst Antarctic &amp; So Ocean Studies, GPO Box 252-77, Hobart, Tas 7001, Australia.</t>
  </si>
  <si>
    <t>plewis@utas.edu.au</t>
  </si>
  <si>
    <t>Hewitt, Chad L/C-4460-2008; Hewitt, Chad/J-2105-2019</t>
  </si>
  <si>
    <t>Hewitt, Chad L/0000-0002-6859-6512; Hewitt, Chad/0000-0002-6859-6512</t>
  </si>
  <si>
    <t>0025-326X</t>
  </si>
  <si>
    <t>1879-3363</t>
  </si>
  <si>
    <t>MAR POLLUT BULL</t>
  </si>
  <si>
    <t>Mar. Pollut. Bull.</t>
  </si>
  <si>
    <t>10.1016/j.marpolbul.2004.07.001</t>
  </si>
  <si>
    <t>Environmental Sciences; Marine &amp; Freshwater Biology</t>
  </si>
  <si>
    <t>Environmental Sciences &amp; Ecology; Marine &amp; Freshwater Biology</t>
  </si>
  <si>
    <t>882GH</t>
  </si>
  <si>
    <t>Green Published, Green Accepted</t>
  </si>
  <si>
    <t>WOS:000225926700026</t>
  </si>
  <si>
    <t>Runcie, JW; Riddle, MJ</t>
  </si>
  <si>
    <t>Metal concentrations in macroalgae from East Antarctica</t>
  </si>
  <si>
    <t>CASEY-STATION; CONTAMINATION; ORGANISMS; MARINE</t>
  </si>
  <si>
    <t>Univ Technol, Dept Environm Sci, Gore Hill, NSW 2065, Australia; Australian Antarctic Div, Kingston, Tas 7050, Australia</t>
  </si>
  <si>
    <t>University of Technology Sydney; Australian Antarctic Division</t>
  </si>
  <si>
    <t>Univ Technol, Dept Environm Sci, Westbourne St, Gore Hill, NSW 2065, Australia.</t>
  </si>
  <si>
    <t>john.runcie@uts.edu.au</t>
  </si>
  <si>
    <t>10.1016/j.marpolbul.2004.09.001</t>
  </si>
  <si>
    <t>WOS:000225926700040</t>
  </si>
  <si>
    <t>Donachie, SP; Hou, S; Lee, KS; Riley, CW; Pikina, A; Belisle, C; Kempe, S; Gregory, TS; Bossuyt, A; Boerema, J; Liu, J; Freitas, TA; Malahoff, A; Alam, M</t>
  </si>
  <si>
    <t>The Hawaiian Archipelago: A microbial diversity hotspot</t>
  </si>
  <si>
    <t>MICROBIAL ECOLOGY</t>
  </si>
  <si>
    <t>RIBOSOMAL-RNA GENES; HYDROTHERMAL VENT SYSTEM; OXIDIZING BACTERIA; LOIHI SEAMOUNT; COMMUNITY STRUCTURE; SP NOV.; DNA; CULTIVATION; LINEAGES; HYDROGEN</t>
  </si>
  <si>
    <t>The Hawaiian Archipelago is a biodiversity hotspot'' where significant endemism among eukaryotes has evolved through geographic isolation and local topography. To address the absence of corresponding region-wide data on Hawaii's microbiota, we compiled the first 16S SSU rDNA clone libraries and cultivated bacteria from five Hawaiian lakes, an anchialine pool, and the Lo'ihi submarine volcano. These sites offer diverse niches over similar to 5000 m elevation and similar to 1150 nautical miles. Each site hosted a distinct prokaryotic community dominated by Bacteria. Cloned sequences fell into 158 groups from 18 Bacteria phyla, while seven were unassigned and two belonged in the Euryarchaeota. Only seven operational taxonomic units ( each OTU comprised sequences that shared greater than or equal to 97% sequence identity) occurred in more than one site. Pure bacterial cultures from all sites fell into 155 groups ( each group comprised pure cultures that shared greater than or equal to 97% 16S SSU rDNA sequence identity) from 10 Bacteria phyla; 15 Proteobacteria and Firmicutes were cultivated from more than one site. One hundred OTUs (60%) and 52 (33.3%) cultures shared &lt; 97% 16S SSU rDNA sequence identity with published sequences. Community structure reflected habitat chemistry; most delta-Proteobacteria occurred in anoxic and sulfidic waters of one lake, while beta-Proteobacteria were cultivated exclusively from fresh or brackish waters. Novel sequences that affiliate with an Antarctic-specific clade of Deinococci, and Candidate Divisions TM7 and BRC1, extend the geographic ranges of these phyla. Globally and locally remote, as well as physically and chemically diverse, Hawaiian aquatic habitats provide unique niches for the evolution of novel communities and microorganisms.</t>
  </si>
  <si>
    <t>Univ Hawaii, Dept Microbiol, Honolulu, HI 96822 USA; Tech Univ Darmstadt, Inst Appl Geosci, D-64287 Darmstadt, Germany; Univ Hawaii, Dept Ocean &amp; Resources Engn, SOEST, Honolulu, HI 96822 USA; Hort &amp; Food Res Inst New Zealand Ltd, Ruakura Res Ctr, Hamilton, New Zealand; Maui High Performance Comp Ctr, Maui, HI 96753 USA; Inst Geol &amp; Nucl Sci, Lower Hutt, New Zealand</t>
  </si>
  <si>
    <t>University of Hawaii System; Technical University of Darmstadt; University of Hawaii System; New Zealand Institute for Plant &amp; Food Research Ltd; GNS Science - New Zealand</t>
  </si>
  <si>
    <t>Univ Hawaii, Dept Microbiol, 2538 Mall,Snyder Hall 111, Honolulu, HI 96822 USA.</t>
  </si>
  <si>
    <t>A.malahoff@gns.nz; alam@hawaii.edu</t>
  </si>
  <si>
    <t>Kempe, Stephan F.J./A-8450-2008; Donachie, Stuart P/O-6220-2016; Pikina, Alla P/J-1327-2018</t>
  </si>
  <si>
    <t>Pikina, Alla P/0000-0001-7232-3288; Donachie, Stuart/0000-0002-8322-6915</t>
  </si>
  <si>
    <t>ONE NEW YORK PLAZA, SUITE 4600, NEW YORK, NY, UNITED STATES</t>
  </si>
  <si>
    <t>0095-3628</t>
  </si>
  <si>
    <t>1432-184X</t>
  </si>
  <si>
    <t>MICROB ECOL</t>
  </si>
  <si>
    <t>Microb. Ecol.</t>
  </si>
  <si>
    <t>10.1007/s00248-004-0217-1</t>
  </si>
  <si>
    <t>894ZG</t>
  </si>
  <si>
    <t>WOS:000226829500007</t>
  </si>
  <si>
    <t>Fields, PA; Houseman, DE</t>
  </si>
  <si>
    <t>Decreases in activation energy and substrate affinity in cold-adapted A4-lactate dehydrogenase:: Evidence from the Antarctic notothenioid fish Chaenocephalus aceratus</t>
  </si>
  <si>
    <t>MOLECULAR BIOLOGY AND EVOLUTION</t>
  </si>
  <si>
    <t>activation energy; cold adaptation; notothenioids; protein stability; site-directed mutagenesis; substrate affinity</t>
  </si>
  <si>
    <t>LACTATE-DEHYDROGENASE; CRYSTAL-STRUCTURE; CONFORMATIONAL FLEXIBILITY; PSYCHROPHILIC ENZYMES; MOLECULAR-BASIS; SWISS-MODEL; ADAPTATION; STABILITY; TEMPERATURE; EVOLUTION</t>
  </si>
  <si>
    <t>Enzyme function is strongly affected by temperature, and orthologs from species adapted to different thermal environments often show temperature compensation in kinetic properties. Antarctic notothenioid fishes live in a habitat of constant, extreme cold (-1.86 +/- 2degreesC), and orthologs of the enzyme A(4)-lactate dehydrogenase (A(4)-LDH) in these species have adapted to this environment through higher catalytic rates, lower Arrhenius activation energies (Ea), and increases in the apparent Michaelis constant for the substrate pyruvate (K-m(PYR)). Here, site-directed mutagenesis was used to determine which amino acid substitutions found in A(4)-LDH of the notothenioid Chaenocephalus aceratus, with respect to orthologs from warm-adapted teleosts, are responsible for these adaptive. changes in enzyme function. K-m(PYR) was measured in eight single and two double mutants, and Ea was tested in five single and two double mutants in the temperature range 0degreesC-20degreesC. Of the four mutants that had an effect on these parameters, two increased Ea but did not affect K-m(PYR) (Gly224Ser, Ala310Pro), and two increased both Ea and K-m(PYR) (Glu233Met, Gln317Val). The double mutants Glu233Met/Ala310Pro and Glu233Met/Gln317Val increased K-m(PYR) and Ea to levels not significantly different from the A4-LDH of a warm temperate fish (Gillichthys mirabilis, habitat temperature 10degreesC-35degreesC). The four single mutants are associated with two alpha-helices that move during the catalytic cycle; those that affect Ea but not K-m(PYR) are further from the active site than those that affect both parameters. These results provide evidence that (1) cold adaptation in A(4)-LDH involves changes in mobility of catalytically important molecular structures; (2) these changes may alter activation energy alone or activation energy and substrate affinity together; and (3) the extent to which these parameters are affected may depend on the location of the substitutions within the mobile alpha-helices, perhaps due to differences in proximity to the active site.</t>
  </si>
  <si>
    <t>Franklin &amp; Marshall Coll, Dept Biol, Lancaster, PA 17604 USA; Stanford Univ, Hopkins Marine Stn, Pacific Grove, CA 93950 USA</t>
  </si>
  <si>
    <t>Franklin &amp; Marshall College; Stanford University</t>
  </si>
  <si>
    <t>Franklin &amp; Marshall Coll, Dept Biol, Lancaster, PA 17604 USA.</t>
  </si>
  <si>
    <t>peter.fields@fandm.edu</t>
  </si>
  <si>
    <t>0737-4038</t>
  </si>
  <si>
    <t>1537-1719</t>
  </si>
  <si>
    <t>MOL BIOL EVOL</t>
  </si>
  <si>
    <t>Mol. Biol. Evol.</t>
  </si>
  <si>
    <t>10.1093/molbev/msh237</t>
  </si>
  <si>
    <t>Biochemistry &amp; Molecular Biology; Evolutionary Biology; Genetics &amp; Heredity</t>
  </si>
  <si>
    <t>870RG</t>
  </si>
  <si>
    <t>WOS:000225074900006</t>
  </si>
  <si>
    <t>Cooke, PJ; Nelson, CS; Crundwell, MP; Field, BD; Elkington, ES; Stone, HH</t>
  </si>
  <si>
    <t>Textural variations in Neogene pelagic carbonate ooze at DSDP Site 593, southern Tasman Sea, and their paleoceanographic implications</t>
  </si>
  <si>
    <t>NEW ZEALAND JOURNAL OF GEOLOGY AND GEOPHYSICS</t>
  </si>
  <si>
    <t>Tasman Sea; carbonate; texture; Neogene; DSDP Site 593; winnowing</t>
  </si>
  <si>
    <t>MESSINIAN SALINITY CRISIS; ICE-SHEET DEVELOPMENT; PROJECT LEG 90; SOUTHWEST PACIFIC; NEW-ZEALAND; BOTTOM WATER; DRILLING PROJECT; DEEP-WATER; CENOZOIC PALEOCEANOGRAPHY; CALCAREOUS NANNOFOSSILS</t>
  </si>
  <si>
    <t>Changes in Neogene sediment texture in pelagic carbonate-rich oozes on the Challenger Plateau, southern Tasman Sea, are used to infer changes in depositional paleocurrent velocities. The most obvious record of textural change is in the mud: sand ratio. Increases in the sand content are inferred to indicate a general up-core trend towards increasing winnowing of sediments resulting, from increasing flow velocity of Southern Component Intermediate Water (SCIW), the forerunner of Antarctic Intermediate Water. In particular, the intervals c. 19-14.5 Ma, c. 9.5-8 Ma. and after 5 Ma are suggested to be times of increased SCIW velocity and strong sediment winnowing. Within the mud fraction, the fine silt to coarse clay sizes from 15.6 to 2 mum make the greatest contribution to the sediments and are composed of nannofossil plates. During extreme winnowing events it is the fine silt to very coarse clay material (13-3 mum) within this range that is preferentially removed, suggesting the 10 pm cohesive silt boundary reported for siliciclastic sediments does not apply to calcitic skeletal grains. The winnowed sediment comprises coccolithophore placoliths and spheres, represented by a mode at 4-7 mum. Further support for seafloor winnowing is gained from the presence in Hole 593 of a condensed sedimentary section from c. 18 to 14 Ma where the sand content increases to c. 20% of the bulk sample. Associated with the condensed section is a 6 m thick orange unit representing sediments subjected to particularly oxygen-rich, late early to early middle Miocene SCIW. Together these are inferred to indicate increased SCIW velocity resulting in winnowed sediment associated with faster arrival of oxygen-rich surface water subducted to form SCIW. Glacial development of Antarctica has been recorded from many deep-sea sites. with extreme glacials providing the mechanism to increase watermass flow. Miocene glacial zones Milb-Mi6 are identified in an associated oxygen isotope record from Hole 593, and correspond with times of particularly invigorated paleocirculation, bottom winnowing, and sediment textural changes.</t>
  </si>
  <si>
    <t>Univ Waikato, Dept Earth Sci, Hamilton, New Zealand; Inst Geol &amp; Nucl Sci, Lower Hutt, New Zealand</t>
  </si>
  <si>
    <t>University of Waikato; GNS Science - New Zealand</t>
  </si>
  <si>
    <t>Cooke, PJ (corresponding author), Univ Waikato, Dept Earth Sci, Private Bag 3105, Hamilton, New Zealand.</t>
  </si>
  <si>
    <t>p.cooke@waikato.ac.nz</t>
  </si>
  <si>
    <t>Field, Brad D/F-1062-2011</t>
  </si>
  <si>
    <t>Field, Bradley/0000-0001-5254-6636</t>
  </si>
  <si>
    <t>4 PARK SQUARE, MILTON PARK, ABINGDON OX14 4RN, OXON, ENGLAND</t>
  </si>
  <si>
    <t>0028-8306</t>
  </si>
  <si>
    <t>NEW ZEAL J GEOL GEOP</t>
  </si>
  <si>
    <t>N. Z. J. Geol. Geophys.</t>
  </si>
  <si>
    <t>10.1080/00288306.2004.9515089</t>
  </si>
  <si>
    <t>Geology; Geosciences, Multidisciplinary</t>
  </si>
  <si>
    <t>889PF</t>
  </si>
  <si>
    <t>Green Submitted, Bronze</t>
  </si>
  <si>
    <t>WOS:000226454200012</t>
  </si>
  <si>
    <t>Saccani, E; Seghedi, A; Nicolae, I</t>
  </si>
  <si>
    <t>Evidence of rift magmatism from preliminary petrological data on Lower Triassic mafic rocks from the North Dobrogea Orogen (Romania)</t>
  </si>
  <si>
    <t>OFIOLITI</t>
  </si>
  <si>
    <t>petrology; MORB; rift; Triassic; Macin Zone; Niculitel Basalts; North Dobrogea; Romania</t>
  </si>
  <si>
    <t>BLACK-SEA BASIN; CRUSTAL CONTAMINATION; JURASSIC OPHIOLITES; EVOLUTION; LAVAS; GEOCHEMISTRY; CORSICA; BASALTS; EAST; PETROGENESIS</t>
  </si>
  <si>
    <t>The Cimmerian orogenic belt of North Dobrogea (East Romania) is located in the Carpathian foreland between the Moesian and Scythian Platforms. In the absence of reliable geochemical data on the different magmatic rock-types, various geodynamic models have been suggested for the Triassic-Jurassic evolution of this belt. Geochemical studies on mafic dykes emplaced in different Hercynian basement rocks, as well as on the Early-Middle Triassic Niculitel Formation basalts have been performed in order to provide new constraints for the geotectonic setting of this belt. A Permo-Triassic phase of crustal thinning of the Hercynian basement is suggested by the still poorly known alkaline magmatism. The Triassic magmatic history involves intrusion of tholeiitic dykes in the Hercynian basement of the Macin Zone, and extrusion of pillow basalts (Niculitel Formation) that most likely occurred above the carbonate compensation depth in a rifted basin with a thinned crust, as suggested by facies characteristics of carbonate rocks interbedded with basalts. This basin could have corresponded either to an aborted rift, or to a passive margin related to back-arc opening. Our data indicate that Macin and Niculitel basalts are derived from a MORB-type asthenospheric mantle source variably influenced by a plume-type component. The less enriched character of the Macin dykes reflects a lesser influence of plume source on magma composition with respect to the Niculitel basalts. Modern chemical analogues are found in the South West Indian and American-Antarctic Ridges, where composition of basalts range from pure plume-type ocean island basalts (OIBs) to pure MORBs, depending on the influence of the Bouvet mantle plume on MORB source. Regardless of the geochemical differences. which can reasonably be related to local variations of the plume component influence on the MORB source, a common geodynamic setting can be postulated for the origin of the two basaltic series. In the hypothesis of the aborted rift, an evolution of the mantle sources, starting with a predominating plume activity followed by an uprise of the primitive asthenospheric mantle, can be postulated for the North Dobrogea Triassic basalts. By contrast, in the back-arc basin model, the plume activity may have played a major role in weakening the lithosphere and preparing the back-arc spreading. The close geochemical similarities between basalts from North Dobrogea and basalts from various ophiolitic complexes and oceanic ridges do not necessarily imply that North Dobrogea Triassic basalts represent an ophiolitic sequence or, in other words, the hypothesized uprise of asthenospheric primitive mantle does not imply an oceanic spreading steady-state. Our data indicate that the Macin and Niculitel basalts originated in an extensional tectonic setting in which the transition from alkaline to E-MORB magmatism was a consequence of the mantle plume evolution through time.</t>
  </si>
  <si>
    <t>Univ Ferrara, Dipartimento Sci Terra, I-44100 Ferrara, Italy; Inst Geol Geofiz, Bucharest, Romania; Inst Geodinam Acad Romane, Bucharest, Romania</t>
  </si>
  <si>
    <t>University of Ferrara; Geological Institute of Romania; Romanian Academy of Sciences</t>
  </si>
  <si>
    <t>Saccani, E (corresponding author), Univ Ferrara, Dipartimento Sci Terra, I-44100 Ferrara, Italy.</t>
  </si>
  <si>
    <t>e.saccani@unife.it</t>
  </si>
  <si>
    <t>FIRENZE</t>
  </si>
  <si>
    <t>DIPARTIMENTO DI SCIENZE DELLA TERRA, UNIVERSITA DI FIRENZE, VIA G LA PIRA 4,, 50121 FIRENZE, ITALY</t>
  </si>
  <si>
    <t>0391-2612</t>
  </si>
  <si>
    <t>Ofioliti</t>
  </si>
  <si>
    <t>885GM</t>
  </si>
  <si>
    <t>WOS:000226145100008</t>
  </si>
  <si>
    <t>Chapman, SC; Dendy, RO; Watkins, NW</t>
  </si>
  <si>
    <t>Robustness and scaling: key observables in the complex dynamic magnetosphere</t>
  </si>
  <si>
    <t>PLASMA PHYSICS AND CONTROLLED FUSION</t>
  </si>
  <si>
    <t>31st European-Physical-Society Conference on Plasma Physics</t>
  </si>
  <si>
    <t>JUN 28-JUL 02, 2004</t>
  </si>
  <si>
    <t>London, ENGLAND</t>
  </si>
  <si>
    <t>SELF-ORGANIZED CRITICALITY; SIMPLE AVALANCHE MODEL; ASTROPHYSICAL PLASMAS; SANDPILE MODEL; SYSTEMS; SPACE; PHENOMENOLOGY; TRANSPORT; PARADIGM; BEHAVIOR</t>
  </si>
  <si>
    <t>Plasma transport and energy dissipation in the driven dynamic magnetosphere are intermittent (bursty), and occur on a range of spatiotemporal scales. System observables such as geomagnetic indices, and auroral images, show evidence of scaling in the statistics of these events. Taken together these are hallmarks of a complex system. Here we underline the importance of robustness in these statistical signatures with respect to variability in the drive, and of bursty transport as opposed to intermittent structures, as key signatures of nonlinear complex avalanching systems. Power law statistics of bursty events do not necessarily require an underlying nonlinearity.</t>
  </si>
  <si>
    <t>Univ Warwick, Dept Phys, Space &amp; Astrophys Grp, Coventry CV4 7AL, W Midlands, England; UKAEA, Culham Div, Culham Sci Ctr, Abingdon OX14 3DB, Oxon, England; British Antarctic Survey, Cambridge CB3 0ET, England; Harvard Univ, Radcliffe Inst Adv Study, Cambridge, MA USA</t>
  </si>
  <si>
    <t>University of Warwick; Culham Science Centre; UK Atomic Energy Authority; UK Research &amp; Innovation (UKRI); Natural Environment Research Council (NERC); NERC British Antarctic Survey; Harvard University</t>
  </si>
  <si>
    <t>Univ Warwick, Dept Phys, Space &amp; Astrophys Grp, Coventry CV4 7AL, W Midlands, England.</t>
  </si>
  <si>
    <t>sandrac@astro.warwick.ac.uk</t>
  </si>
  <si>
    <t>Chapman, Sandra/C-2216-2008; Dendy, Richard O/A-4533-2009; Watkins, Nicholas Wynn/C-5140-2008; Watkins, Nick/GPX-7439-2022</t>
  </si>
  <si>
    <t>Chapman, Sandra/0000-0003-0053-1584; Dendy, Richard O/0009-0002-0017-9103; Watkins, Nicholas Wynn/0000-0003-4484-6588; Watkins, Nick/0000-0003-4484-6588</t>
  </si>
  <si>
    <t>0741-3335</t>
  </si>
  <si>
    <t>1361-6587</t>
  </si>
  <si>
    <t>PLASMA PHYS CONTR F</t>
  </si>
  <si>
    <t>Plasma Phys. Control. Fusion</t>
  </si>
  <si>
    <t>12B</t>
  </si>
  <si>
    <t>SI</t>
  </si>
  <si>
    <t>B157</t>
  </si>
  <si>
    <t>B166</t>
  </si>
  <si>
    <t>10.1088/0741-3335/46/12B/014</t>
  </si>
  <si>
    <t>Physics, Fluids &amp; Plasmas</t>
  </si>
  <si>
    <t>894QI</t>
  </si>
  <si>
    <t>WOS:000226806300016</t>
  </si>
  <si>
    <t>Castelló, J</t>
  </si>
  <si>
    <t>Isopods (Crustacea, Isopoda) from the Spanish Bentart-94/95 expeditions to the South Shetland Islands (sub-Antarctic)</t>
  </si>
  <si>
    <t>POLAR BIOLOGY</t>
  </si>
  <si>
    <t>BRANSFIELD STRAIT; WEDDELL SEA; ASELLOTA; MALACOSTRACA; REVISION; MAGELLAN; REDESCRIPTIONS; ASSEMBLAGES; PERACARIDA; DIVERSITY</t>
  </si>
  <si>
    <t>Eighty-seven samples containing isopods were studied from the Spanish programs Bentart 94 and Bentart 95 in the Livingston Island and nearby areas (South Shetlands, sub-Antarctic). The samples were obtained mainly using box corers (meiobenthos), an A-gassiz dredge (epibenthos) and a suprabenthic sledge (suprabenthos). Seventy-eight species were found; 27 were recorded for the first time in the South Shetland Islands. Two other species (Austrosignum escandellae and Coulmannia ramosae) had previously been described as new species from the specimens of the collection Bentart 95. The largest number of species were found at station number 6 (B95: 21 species). The largest populations were in sample 6TA (B95: 215 specimens of Paramunna rostrata and 99 specimens of Santia mawsoni). As regards depth.. the distribution of species varied from 2 m (Ceratoserolis trilobitoides, B95: sample 5TA) to 1,019 m (Ceratoserolis meridionalis, B95: sample A31 (5 mm)). Muddy bottoms were the most common habitat. The most diverse families were Munnopsidae (I I species), Paramunnidae (9 species) and Antarcturidae (9 species). This paper adds to our taxonomic and biogeographical knowledge of the benthic communities from the South Shetland Islands.</t>
  </si>
  <si>
    <t>Univ Barcelona, Dept Didact Ciencies Expt &amp; Matemat, Barcelona 08035, Spain</t>
  </si>
  <si>
    <t>University of Barcelona</t>
  </si>
  <si>
    <t>Castelló, J (corresponding author), Univ Barcelona, Dept Didact Ciencies Expt &amp; Matemat, Passeig Vall Hebron 171, Barcelona 08035, Spain.</t>
  </si>
  <si>
    <t>josep.castello@ub.edu</t>
  </si>
  <si>
    <t>Castelló, José/AAN-9107-2020; Castello, Jose/D-4727-2014</t>
  </si>
  <si>
    <t>Castello, Jose/0000-0002-4192-175X</t>
  </si>
  <si>
    <t>0722-4060</t>
  </si>
  <si>
    <t>POLAR BIOL</t>
  </si>
  <si>
    <t>Polar Biol.</t>
  </si>
  <si>
    <t>10.1007/s00300-004-0646-9</t>
  </si>
  <si>
    <t>891AD</t>
  </si>
  <si>
    <t>WOS:000226552800001</t>
  </si>
  <si>
    <t>Krzewicka, B; Smykla, J</t>
  </si>
  <si>
    <t>The lichen genus Umbilicaria from the neighbourhood of Admiralty Bay (King George Island, maritime Antarctic), with a proposed new key to all Antarctic taxa</t>
  </si>
  <si>
    <t>SOUTH-SHETLAND-ISLANDS; LIVINGSTON ISLAND; REGION</t>
  </si>
  <si>
    <t>This paper documents the occurrence of the genus Umbilicaria in the neighbourhood of Admiralty Bay on King George Island in the maritime Antarctic. Nine species are reported from the area surveyed, with Unibilicaria kappeni being reported from King George Island for the first time. The occurrence of U. aprina, U. cristata and U. umbilicarioides on the island is confirmed and that of U. aprina is its first documented record from the maritime Antarctic. Fertile specimens of U. umbilicarioides are recorded for the first time from Antarctica. The area around Admiralty Bay seems to be one of the Antarctic regions with the highest diversity of Umbilicaria species. The diagnostic characters and distribution of each species are discussed. An updated key for identification of all the Antarctic species of the genus is provided.</t>
  </si>
  <si>
    <t>Polish Acad Sci, W Szafer Inst Bot, Lab Lichenol, PL-31512 Krakow, Poland; Polish Acad Sci, W Szafer Inst Bot, Dept Ecol, PL-31512 Krakow, Poland; Polish Acad Sci, Dept Antarct Biol, PL-02141 Warsaw, Poland</t>
  </si>
  <si>
    <t>Polish Academy of Sciences; W. Szafer Institute of Botany of the Polish Academy of Sciences; Polish Academy of Sciences; W. Szafer Institute of Botany of the Polish Academy of Sciences; Polish Academy of Sciences</t>
  </si>
  <si>
    <t>Polish Acad Sci, W Szafer Inst Bot, Lab Lichenol, Lubicz 46, PL-31512 Krakow, Poland.</t>
  </si>
  <si>
    <t>bkrzew@ib-pan.krakow.pl</t>
  </si>
  <si>
    <t>Krzewicka, Beata/AAB-3191-2021; Smykla, Jerzy/N-3288-2014</t>
  </si>
  <si>
    <t>Krzewicka, Beata/0000-0002-9478-0911; Smykla, Jerzy/0000-0001-8228-6695</t>
  </si>
  <si>
    <t>1432-2056</t>
  </si>
  <si>
    <t>10.1007/s00300-004-0638-9</t>
  </si>
  <si>
    <t>WOS:000226552800002</t>
  </si>
  <si>
    <t>Almada, P; Allende, L; Tell, G; Izaguirre, I</t>
  </si>
  <si>
    <t>Experimental evidence of the grazing impact of Boeckella poppei on phytoplankton in a maritime Antarctic lake</t>
  </si>
  <si>
    <t>FRESH-WATER ECOSYSTEMS; HOPE BAY; PLANKTONIC COMMUNITIES; FOOD WEBS; PENINSULA; PREDATION; COPEPODS</t>
  </si>
  <si>
    <t>The zooplankton biomass of Lake Boeckella (Hope Bay, Antarctic Peninsula) is strongly dominated by the calanold copepod Boeckella poppei Mrazek. This work analyses the grazing impact of this copepod on the two dominant fractions of phytoplankton, pico- and nanoplankton, and on the bacterioplankton. By means of in-situ experiments using microcosms, the following hypotheses were tested: (a) the early stages of the copepod mainly graze on phytoplankton; (b) the pre-adult and adult stages graze on phytoplankton and benthic algae. Copepods were separated into two groups of maturity: early stages, and pre-adult and adult stages. The following treatments were performed: (1) only nano-and picoplankton, (2) nano- and picoplankton+ periphyton, and (3) only periphyton, for each one of the two copepod maturity groups, and (4) control (without copepods). The variation in nano-phytoplankton density was analysed after 2 and 4 days. The results determined a significant grazing on the nano phytoplankton fraction in all microcosms containing, copepods of both maturity groups (P &lt; 0.01). The effect on the nano-phytoplankton was greater when the copepods did not have another source of food (P &lt; 0.01). No significant differences between the maturity groups were observed (P &gt; 0.05). We also conclude that the copepods use the periphyton as an alternative source of food, which was corroborated by the analysis of gut content. In general, no significant differences among treatments were recorded for the pico-sized fraction (pico-phytoplankton and bactericiplankton), which would suggest that no direct grazing on this fraction exists.</t>
  </si>
  <si>
    <t>Consejo Nacl Invest Cient &amp; Tecn, RA-1033 Buenos Aires, DF, Argentina; Univ Buenos Aires, Fac Ciencias Exactas &amp; Nat, Dept Ecol Genet &amp; Evoluc, Buenos Aires, DF, Argentina</t>
  </si>
  <si>
    <t>Consejo Nacional de Investigaciones Cientificas y Tecnicas (CONICET); University of Buenos Aires</t>
  </si>
  <si>
    <t>Consejo Nacl Invest Cient &amp; Tecn, RA-1033 Buenos Aires, DF, Argentina.</t>
  </si>
  <si>
    <t>iri@bg.fcen.uba.ar</t>
  </si>
  <si>
    <t>233 SPRING ST, NEW YORK, NY 10013 USA</t>
  </si>
  <si>
    <t>10.1007/s00300-004-0644-y</t>
  </si>
  <si>
    <t>WOS:000226552800004</t>
  </si>
  <si>
    <t>Slabber, S; Chown, SL</t>
  </si>
  <si>
    <t>Thermal tolerance and cold hardiness strategy of the sub-Antarctic psocid Antarctopsocus jeanneli Badonnel</t>
  </si>
  <si>
    <t>LARGE-SCALE PATTERNS; CLIMATE-CHANGE; PHYSIOLOGICAL VARIATION; TEMPERATURE TOLERANCE; SUPERCOOLING POINTS; WATER-BALANCE; INSECTS; RESISTANCE; LIMITS; CATERPILLAR</t>
  </si>
  <si>
    <t>Despite considerable work on the upper and lower lethal limits of insects, several major taxa have received little attention. We investigated the lower and upper thermal tolerances and cold hardiness strategy of Antarctopsocus jeanneli Badonnel (Psocoptera: Elipsocidae) from sub-Antarctic Marion Island. A. jeanneli is freeze intolerant and, more specifically, moderately chill tolerant. Field fresh A. jeanneli had a mean supercooling point (SCP) of -11.1degreesC, whereas LT50 was -7.7degreesC, indicating pre-freeze mortality. A. jeanneli responds to acclimation: mean SCP increased from -15.8degreesC at a treatment temperature of 0 to -7.3degreesC at 15degreesC, as a result of a shift in the proportion of individuals in the high and low groups of the bimodal SCP distribution. A. jeanneli has upper thermal tolerances that are lower than those of other insect species on Marion Island, but within the range of expected microhabitat temperatures. Further study will establish whether freeze intolerance is characteristic of Psocoptera.</t>
  </si>
  <si>
    <t>Univ Stellenbosch, Dept Zool, Spatial Physiol &amp; Conservat Ecol Grp, ZA-7602 Matieland, South Africa</t>
  </si>
  <si>
    <t>Stellenbosch University</t>
  </si>
  <si>
    <t>Univ Stellenbosch, Dept Zool, Spatial Physiol &amp; Conservat Ecol Grp, Private Bag X1, ZA-7602 Matieland, South Africa.</t>
  </si>
  <si>
    <t>slchown@sun.ac.za</t>
  </si>
  <si>
    <t>Chown, Steven/ABD-7646-2021; Chown, Steven L/H-3347-2011</t>
  </si>
  <si>
    <t>10.1007/s00300-004-0649-6</t>
  </si>
  <si>
    <t>WOS:000226552800006</t>
  </si>
  <si>
    <t>Clarke, A; Prothero-Thomas, E; Beaumont, JC; Chapman, AL; Brey, T</t>
  </si>
  <si>
    <t>Growth in the limpet Nacella concinna from contrasting sites in Antarctica</t>
  </si>
  <si>
    <t>POPULATION-DYNAMICS; SOUTHERN-OCEAN; ECOLOGY; AGE; ECHINODERMATA; COMMUNITIES; OPHIUROIDEA; ADAPTATION; MORTALITY; PENINSULA</t>
  </si>
  <si>
    <t>Annual shell growth was determined by mark and recapture in the limpet Nacella concinna (Strebel 1908) at two contrasting sites in Antarctica. At Signy Island, 60degreesS, growth was moderately fast, comparable with some limpets in more temperate areas. The fluorescent calcium marker calcein was used to validate the results from the mark/recapture study, and fine-scale growth increments showed that shell growth was seasonal. Further south at Rothera Point, 67degreesS, mean annual growth over a 3-year period was significantly slower than at Signy, and in 1 year was the slowest yet reported for a limpet. Comparison with an earlier mark/ recapture study at Arthur Harbour, Palmer Station (64degreesS) revealed a cline of decreasing growth performance with increasing latitude along the Antarctic Peninsula. It is not clear whether the slower annual growth rate at higher latitude was caused by physiological constraints, a reduced length of growing season, or a combination of both. Limpets show a global cline in growth performance, which decreases towards higher latitudes.</t>
  </si>
  <si>
    <t>British Antarctic Survey, NERC, Cambridge CB3 0ET, England; Dunstaffnage Marine Res Lab, Scotish Assoc Marine Sci, Oban PA37 1QA, Argyll, Scotland; Alfred Wegener Inst Polar &amp; Marine Res, D-27568 Bremerhaven, Germany</t>
  </si>
  <si>
    <t>UK Research &amp; Innovation (UKRI); Natural Environment Research Council (NERC); NERC British Antarctic Survey; Helmholtz Association; Alfred Wegener Institute, Helmholtz Centre for Polar &amp; Marine Research</t>
  </si>
  <si>
    <t>Clarke, A (corresponding author), British Antarctic Survey, NERC, High Cross,Madingley Rd, Cambridge CB3 0ET, England.</t>
  </si>
  <si>
    <t>Brey, Thomas/0000-0002-6345-2851; Clarke, Andrew/0000-0002-7582-3074</t>
  </si>
  <si>
    <t>10.1007/s00300-004-0647-8</t>
  </si>
  <si>
    <t>WOS:000226552800007</t>
  </si>
  <si>
    <t>Daly, KL; Zimmerman, JJ</t>
  </si>
  <si>
    <t>Comparisons of morphology and neritic distributions of Euphausia crystallorophias and Euphausia superba furcilia during autumn and winter west of the Antarctic Peninsula</t>
  </si>
  <si>
    <t>WEDDELL SEA; ADELIE PENGUINS; LARVAL STAGES; PRYDZ BAY; ROSS SEA; KRILL; DIET; ABUNDANCE; RATES</t>
  </si>
  <si>
    <t>Euphausia crystallorophias and E. superba larvae often overlap in distribution in Antarctic coastal regions. Here, we describe the morphology and ecology of E. crystallorophias furcilia stages F3-F6,. with emphasis on characteristics that distinguish them from E. superba, based on samples collected west of the Antarctic Peninsula during autumn and winter 2001 and 2002. During autumn most E. crystallorophias occurred as F4s (53%) and F5s (35%), while E. superba occurred in all furcilia stages (F1-F6). During winter, F6 was the dominant stage (&gt;67%) for both species. On average, body lengths of E. crystallorophias larval stages were significantly greater than those of E. superba. During autumn, densities of the two species were similar (range: 0.003-11.8 m(-3)) at many on-shelf stations, with lower densities during winter. Where both species occurred, &gt; 58% of E. crystallorophias furcilia were collected between 50 and 100 m depth, while 82% of E. superba were shallower (25-50 m). Younger stages of E. crystallorophias occurred more frequently (54% of F3s) in water &gt; 100 m than older stages (11% of F6s). Thus, many larval E. crystallorophias were vertically segregated from E. superba, thereby reducing grazing competition between the young of these morphologically similar species.</t>
  </si>
  <si>
    <t>Univ S Florida, Coll Marine Sci, St Petersburg, FL 33701 USA</t>
  </si>
  <si>
    <t>State University System of Florida; University of South Florida</t>
  </si>
  <si>
    <t>Daly, KL (corresponding author), Univ S Florida, Coll Marine Sci, 140 7th Ave S, St Petersburg, FL 33701 USA.</t>
  </si>
  <si>
    <t>kdaly@marine.usf.edu</t>
  </si>
  <si>
    <t>10.1007/s00300-004-0660-y</t>
  </si>
  <si>
    <t>WOS:000226552800008</t>
  </si>
  <si>
    <t>Wanntorp, L; Dettmann, ME; Jarzen, DM</t>
  </si>
  <si>
    <t>Tracking the Mesozoic distribution of Gunnera:: comparison with the fossil pollen species Tricolpites reticulatus Cookson</t>
  </si>
  <si>
    <t>REVIEW OF PALAEOBOTANY AND PALYNOLOGY</t>
  </si>
  <si>
    <t>Gunnera; Tricolpites reticulatus; Tricolpites microreticulatus; pollen; Kerguelen Island; Australia; Antarctica</t>
  </si>
  <si>
    <t>NOTHOFAGUS</t>
  </si>
  <si>
    <t>The morphology of the exine of Late Cretaceous and Tertiary specimens of Tricolpites reticulatus previously documented from Kerguelen, the Antarctic Peninsula, and the Otway Basin of southeastern Australia has been re-examined and compared with the three pollen types identified in the genus Gunnera. An Antarctic specimen of T reticulatus (Maastrichtian) has a uniform reticulum with elongated lumina, similar to that characterising pollen type 3a of Gunnera macrophylla (subgenus Pseudogunnera). Late Cretaceous (Maastrichtian) Australian specimens of T reticulatus differ; specimens from McNamara resemble pollen of subgenera Pseudogunnera and Milligania of type 3a or type 3b, while specimens of T reticulatus from Princes show more rounded and equidimensional lumina and are therefore tentatively attributed to pollen type 2 found in subgenera Gunnera, Misandra and Panke. Kerguelen Island T reticulatus (Miocene) are distinct from Vega Island specimens: a closer resemblance of Kerguelen T reticulatus and pollen type 2 of extant Gunnera is hypothesised. A comparison between specimens of the North American Tricolpites reticulatus/microreticulatus and pollen of Gunnera is also made. The clear similarity of the North American specimens of Tricolpites microreticulatus and pollen of Gunnera in shape and in the exine surface features of pollen suggests that this taxon should not be separated from T reticulatus but should be treated as a synonym of this species. (C) 2004 Elsevier B.V. All rights reserved.</t>
  </si>
  <si>
    <t>Univ Stockholm, Dept Bot, S-10691 Stockholm, Sweden; Univ Queensland, Dept Bot, Brisbane, Qld 4072, Australia; Florida Museum Nat Hist, Gainesville, FL 32611 USA</t>
  </si>
  <si>
    <t>Stockholm University; University of Queensland</t>
  </si>
  <si>
    <t>Univ Munich, Munich Inst Systemat Bot, Menzinger Str 67, D-80638 Munich, Germany.</t>
  </si>
  <si>
    <t>Livia.Wanntorp@lrz.uni-muenchen.de; M.Dettmann@botany.uq.edu.au; dmj@flmnh.ufl.edu</t>
  </si>
  <si>
    <t>0034-6667</t>
  </si>
  <si>
    <t>1879-0615</t>
  </si>
  <si>
    <t>REV PALAEOBOT PALYNO</t>
  </si>
  <si>
    <t>Rev. Palaeobot. Palynology</t>
  </si>
  <si>
    <t>10.1016/j.revpalbo.2004.06.001</t>
  </si>
  <si>
    <t>Plant Sciences; Paleontology</t>
  </si>
  <si>
    <t>882JC</t>
  </si>
  <si>
    <t>WOS:000225934200001</t>
  </si>
  <si>
    <t>Stern, CR</t>
  </si>
  <si>
    <t>Active Andean volcanism: its geologic and tectonic setting</t>
  </si>
  <si>
    <t>REVISTA GEOLOGICA DE CHILE</t>
  </si>
  <si>
    <t>South America; Andes; volcanoes; magma genesis; voloanic hazards</t>
  </si>
  <si>
    <t>CHILE-TRIPLE-JUNCTION; SOUTHERN CENTRAL ANDES; NAZCA PLATE BENEATH; SAN-PEDRO COMPLEX; OFQUI FAULT ZONE; SPREADING-RIDGE SUBDUCTION; REGION 18-DEGREES-S 69-DEGREES-W; LAURENTIA-GONDWANA LINK; LANDSAT THEMATIC MAPPER; MAGMA-CRUST INTERACTION</t>
  </si>
  <si>
    <t>The Andean volcanic arc includes over 200 potentially active Quaternary volcanoes, and at least 12 giant caldera/ ignimbrite systems, occurring in four separate segments referred to as the Northern, Central, Southern and Austral Volcanic Zones. Volcanism results from subduction of the Nazca and Antarctic oceanic plates below South America. Active volcanoes occur where the angle of subduction is relatively steep (&gt;25degrees), and active arc segments are separated by regions below which subduction angle decreases and becomes relatively flat (&lt;10degrees) at depths &gt;100 km. Segments of low angle subduction formed beginning in the Miocene in association with subduction of buoyant oceanic plateaus and ridges, and current segmentation of subduction geometry and active Andean volcanic zones is clearly a transient feature related to Neogene tectonics. A genetic relation between subduction and volcanism is confirmed by geochemical studies indicating that generation of Andean magmas is initiated by dehydration and/or melting of subducting oceanic lithosphere and interaction of these slab-derived fluids/melts with the overlying mantle wedge. Continental crust is incorporated into Andean magmas by a combination of both subduction of crust into the subarc: mantle and assimilation of crust into mantle-derived magmas. Variations in the rate of subduction erosion and subduction of continental crust significantly affect not only Andean magma chemistry, but also the along-strike intraplate mechanical coupling in the subduction zone and the dynamics of mountain building in the Andes. Crustal components are most significant in magmas erupted in the Central Volcanic Zone, where the crust is extremely thick (&gt;70 km) and estimated rates of subduction erosion of the continental margin, possibly equivalent to as much as 4% of the volume of subducting oceanic crust, are also greatest due to the hyper-arid climate conditions and low sediment supply to the trench. Obvious hazards associated with Andean volcanoes include lava and pyroclastic flows, lahars, debris flows resulting from sector collapse, and tephra falls. More than 25,000 people have been killed by the &gt;600 eruptions of these volcanoes catalogued since the year 1532, most of these by lahars generated during the eruption of Nevado del Ruiz, Colombia, in 1985. Despite the fact that &gt;20 million people live within &lt;100 km of an active Andean volcano, mostly in low-lying areas in the intermontane valleys of Colombia and Ecuador and the Central Valley of south-central Chile, only &lt;25 of these volcanoes are continuously monitored for signs of activity.</t>
  </si>
  <si>
    <t>Univ Colorado, Dept Geol Sci, Boulder, CO 80309 USA</t>
  </si>
  <si>
    <t>University of Colorado System; University of Colorado Boulder</t>
  </si>
  <si>
    <t>Univ Colorado, Dept Geol Sci, Boulder, CO 80309 USA.</t>
  </si>
  <si>
    <t>Charles.Stern@colorado.edu</t>
  </si>
  <si>
    <t>SERVICIO NACIONAL GEOLOGIA MINERVA</t>
  </si>
  <si>
    <t>SANTIAGO</t>
  </si>
  <si>
    <t>AVDA SANTA MARIO 0104, CASILLA 10465, SANTIAGO, CHILE</t>
  </si>
  <si>
    <t>0716-0208</t>
  </si>
  <si>
    <t>REV GEOL CHILE</t>
  </si>
  <si>
    <t>Rev. Geol. Chile</t>
  </si>
  <si>
    <t>10.4067/S0716-02082004000200001</t>
  </si>
  <si>
    <t>880AB</t>
  </si>
  <si>
    <t>Green Submitted, gold</t>
  </si>
  <si>
    <t>WOS:000225759600001</t>
  </si>
  <si>
    <t>Stevens, G; Woinarski, A; Northcott, K; Woodberry, P; Snape, I</t>
  </si>
  <si>
    <t>Another fine mess!</t>
  </si>
  <si>
    <t>TCE</t>
  </si>
  <si>
    <t>Univ Melbourne, Separat Grp, Parkville, Vic 3052, Australia; Australian Antarctic Div Human Impacts Res, Kingston, Tas, Australia</t>
  </si>
  <si>
    <t>University of Melbourne; Australian Antarctic Division</t>
  </si>
  <si>
    <t>Stevens, G (corresponding author), Univ Melbourne, Separat Grp, Parkville, Vic 3052, Australia.</t>
  </si>
  <si>
    <t>gstevens@unimelb.edu</t>
  </si>
  <si>
    <t>Stevens, Geoffrey/0000-0002-5788-4682</t>
  </si>
  <si>
    <t>INST CHEMICAL ENGINEERS</t>
  </si>
  <si>
    <t>RUGBY</t>
  </si>
  <si>
    <t>165-189 RAILWAY TERRACE, DAVIS BLDG, RUGBY CV21 3HQ, ENGLAND</t>
  </si>
  <si>
    <t>0302-0797</t>
  </si>
  <si>
    <t>TCE-THE CHEM ENG</t>
  </si>
  <si>
    <t>DEC-JAN</t>
  </si>
  <si>
    <t>762-63</t>
  </si>
  <si>
    <t>Engineering, Chemical</t>
  </si>
  <si>
    <t>Engineering</t>
  </si>
  <si>
    <t>936EA</t>
  </si>
  <si>
    <t>WOS:000229837100051</t>
  </si>
  <si>
    <t>Casaux, R</t>
  </si>
  <si>
    <t>Diving patterns in the Antarctic Shag</t>
  </si>
  <si>
    <t>WATERBIRDS</t>
  </si>
  <si>
    <t>Antarctic Shag; Phalacrocorax bransfieldensis; diving patterns; Antarctica</t>
  </si>
  <si>
    <t>BLUE-EYED SHAG; SOUTH SHETLAND ISLANDS; POTTER COVE; NOTOTHENIA-CORIICEPS; DIET; COAST; FISH</t>
  </si>
  <si>
    <t>The diving patterns of the Antarctic Shag (Phalacrocorax bransfieldensis) there studied by direct observation on individuals foraging at Harmony Cove, Nelson Island, South Shetland Islands, during the 1995/96 and 1996/97 breeding seasons. The individuals observed foraged in shallow waters, mainly solitarily and presumably dived aerobically. The shags displayed relatively short diving bouts composed of few dives. During the 1995/96 breeding season, the duration of the dives decreased with the increase in the number of dives per bout and increased with the diving depth. These relationships were not statistically significant in 1996/97. In both seasons, the duration of the dives was positively related with both the surface resting time preceding and succeeding the dive, which may indicate that these birds display anticipatory or reactive dives probably according to the foraging conditions. Shags at the surface were seen swallowing fish longer than 15 cm; smaller fish as well as invertebrates may have been ingested underwater. The mean diving efficiencies of the bouts fall within the range reported for phalacrocoracids, but values of diving efficiency below unity were observed.</t>
  </si>
  <si>
    <t>Inst Antarctico Argentino, RA-1010 Buenos Aires, DF, Argentina; Consejo Nacl Invest Cient &amp; Tecn, RA-1033 Buenos Aires, DF, Argentina</t>
  </si>
  <si>
    <t>Consejo Nacional de Investigaciones Cientificas y Tecnicas (CONICET)</t>
  </si>
  <si>
    <t>Casaux, R (corresponding author), Univ Nacl Patagonia, Lab Ecol Acuat, Sarmiento 849, RA-9200 Chubut, Argentina.</t>
  </si>
  <si>
    <t>pipocasaux@infovia.com.ar</t>
  </si>
  <si>
    <t>WATERBIRD SOC</t>
  </si>
  <si>
    <t>NATL MUSEUM NATURAL HISTORY SMITHSONIAN INST, WASHINGTON, DC 20560 USA</t>
  </si>
  <si>
    <t>1524-4695</t>
  </si>
  <si>
    <t>1938-5390</t>
  </si>
  <si>
    <t>Waterbirds</t>
  </si>
  <si>
    <t>10.1675/1524-4695(2004)027[0382:DPITAS]2.0.CO;2</t>
  </si>
  <si>
    <t>Ornithology</t>
  </si>
  <si>
    <t>886EZ</t>
  </si>
  <si>
    <t>WOS:000226211000002</t>
  </si>
  <si>
    <t>Otley, HM; Clausen, AP; Christie, DJ; Pütz, K</t>
  </si>
  <si>
    <t>Aspects of the breeding biology of the Magellanic Penguin in the Falkland Islands</t>
  </si>
  <si>
    <t>Falkland Islands; Magellanic Penguin; South America; breeding biology; incubation; foraging; breeding success</t>
  </si>
  <si>
    <t>SPHENISCUS-MAGELLANICUS; REPRODUCTIVE SUCCESS; ROCKHOPPER PENGUINS; PYGOSCELIS-PAPUA; DIET COMPOSITION; NEST DESERTION; ARGENTINA; GENTOO; CHRYSOCOME; INCUBATION</t>
  </si>
  <si>
    <t>The breeding biology of the Magellanic Penguin (Spheniscus magellauicus), including the timing of laying, brooding and fledging, foraging trip lengths during incubation and brooding and diet in relation to breeding success, was investigated at Volunteer Beach in the north east of the Falkland Islands during the 2001/02 breeding season. Egg-laying dates were between 12 October and 1 November, with an overall hatching success of 65%. The length of foraging trips during incubation ranged from 2-15 days. Chicks were provisioned daily during the 23 day brood period, and then at a mean interval of two days during the unattended period, until fledging occurred in late January and early February. Successful pairs laid significantly earlier and undertook shorter foraging trips during incubation and brooding compared to unsuccessful pairs. The mean breeding success of 0.2 chicks/pair was low compared to the ten year mean at the study site and was possibly due to a lower abundance of squid, which is the preferred food for Magellanic penguin chicks in the Falkland Islands. The results obtained are discussed with regard to the breeding biology of the Magellanic Penguin on the mainland of South America. However, further research in subsequent seasons is required to determine whether the observed differences in breeding biology compared to elsewhere in the species range is typical behavior or the result of the changed prey availability.</t>
  </si>
  <si>
    <t>Antarctic Res Trust, Stanley FIQQ 1ZZ, Falkland Isl, England</t>
  </si>
  <si>
    <t>Otley, HM (corresponding author), Falklands Conservat, POB 26, Stanley FIQQ 1ZZ, Falkland Isl, England.</t>
  </si>
  <si>
    <t>heleno@southcom.com.au</t>
  </si>
  <si>
    <t>Puetz, Klemens/0000-0003-1375-2669</t>
  </si>
  <si>
    <t>10.1675/1524-4695(2004)027[0396:AOTBBO]2.0.CO;2</t>
  </si>
  <si>
    <t>WOS:000226211000004</t>
  </si>
  <si>
    <t>Kito, K; Kanda, H; Ohyama, Y</t>
  </si>
  <si>
    <t>Kito, Kenji; Kanda, Hiroshi; Ohyama, Yoshikuni</t>
  </si>
  <si>
    <t>Interstitial nematodes of a sandy beach polluted by sewage from Antarctic base in King George Island</t>
  </si>
  <si>
    <t>ZOOLOGICAL SCIENCE</t>
  </si>
  <si>
    <t>Sapporo Med Univ, Sch Med, Dept Biol, Sapporo, Hokkaido 0608556, Japan; Natl Inst Polar Res, Itabashi Ku, Tokyo 1738515, Japan</t>
  </si>
  <si>
    <t>Sapporo Medical University; Research Organization of Information &amp; Systems (ROIS); National Institute of Polar Research (NIPR) - Japan</t>
  </si>
  <si>
    <t>ZOOLOGICAL SOC JAPAN</t>
  </si>
  <si>
    <t>TOKYO</t>
  </si>
  <si>
    <t>TOSHIN-BUILDING, HONGO 2-27-2, BUNKYO-KU, TOKYO, 113-0033, JAPAN</t>
  </si>
  <si>
    <t>0289-0003</t>
  </si>
  <si>
    <t>ZOOL SCI</t>
  </si>
  <si>
    <t>Zool. Sci.</t>
  </si>
  <si>
    <t>044CZ</t>
  </si>
  <si>
    <t>WOS:000237651300721</t>
  </si>
  <si>
    <t>McNeil, BI; Matear, RJ; Barnes, DJ</t>
  </si>
  <si>
    <t>Coral reef calcification and climate change: The effect of ocean warming</t>
  </si>
  <si>
    <t>CO2 PARTIAL-PRESSURE; CARBONATE-ION CONCENTRATION; SEA-SURFACE TEMPERATURE; SCLERACTINIAN CORALS; GROWTH; PHOTOSYNTHESIS; PORITES; RESPIRATION; COMMUNITY; FUTURE</t>
  </si>
  <si>
    <t>[ 1] Coral reefs are constructed of calcium carbonate (CaCO(3)). Deposition of CaCO(3) (calcification) by corals and other reef organisms is controlled by the saturation state of CaCO(3) in seawater (Omega) and sea surface temperature (SST). Previous studies have neglected the effects of ocean warming in predicting future coral reef calcification rates. In this study we take into account both these effects by combining empirical relationships between coral calcification rate and W and SST with output from a climate model to predict changes in coral reef calcification rates. Our analysis suggests that annual average coral reef calcification rate will increase with future ocean warming and eventually exceed pre-industrial rates by about 35% by 2100. Our results suggest that present coral reef calcification rates are equivalent to levels in the late 19th century and does not support previous suggestions of large and potentially catastrophic decreases in the future.</t>
  </si>
  <si>
    <t>Univ New S Wales, Sch Math, Ctr Environm Modelling &amp; Predict, Sydney, NSW 2052, Australia; CSIRO Marine Res &amp; Antarctic, Climate &amp; Ecosyst CRC, Hobart, Tas 7001, Australia; Australian Inst Marine Sci, Townsville, Qld 4810, Australia</t>
  </si>
  <si>
    <t>University of New South Wales Sydney; Commonwealth Scientific &amp; Industrial Research Organisation (CSIRO); Australian Institute of Marine Science</t>
  </si>
  <si>
    <t>McNeil, BI (corresponding author), Univ New S Wales, Sch Math, Ctr Environm Modelling &amp; Predict, Sydney, NSW 2052, Australia.</t>
  </si>
  <si>
    <t>b.mcneil@unsw.edu.au</t>
  </si>
  <si>
    <t>; matear, richard/C-5133-2011</t>
  </si>
  <si>
    <t>McNeil, Ben/0000-0001-5765-7087; matear, richard/0000-0002-3225-0800</t>
  </si>
  <si>
    <t>NOV 30</t>
  </si>
  <si>
    <t>L22309</t>
  </si>
  <si>
    <t>10.1029/2004GL021541</t>
  </si>
  <si>
    <t>877PR</t>
  </si>
  <si>
    <t>WOS:000225583000005</t>
  </si>
  <si>
    <t>Braun, C; Hardy, DR; Bradley, RS; Sahanatien, V</t>
  </si>
  <si>
    <t>Surface mass balance of the Ward Hunt Ice Rise and Ward Hunt Ice Shelf, Ellesmere Island, Nunavut, Canada</t>
  </si>
  <si>
    <t>glacier; Arctic</t>
  </si>
  <si>
    <t>QUEEN ELIZABETH ISLANDS; ANTARCTIC PENINSULA; CLIMATE-CHANGE; BREAK-UP; TRENDS; COVER; AREA; CAPS</t>
  </si>
  <si>
    <t>The Ward Hunt Ice Rise and Ward Hunt Ice Shelf, located on Ellesmere Island, Canada, are two of the northernmost land ice masses on the North American continent. Surface mass balance measurements ( excluding calving and subice processes) began in 1959 on the ice rise and in 1966 on the ice shelf but were frequently interrupted, most recently between 1986 and 2002. The surface balance of the ice rise and ice shelf follows the temporal pattern seen on other measured High Arctic glaciers. The overall surface mass losses over the last 45 years have been comparatively low (1.68 m water equivalent (w eq) for the ice rise and 3.1 m w eq for the ice shelf), which reflects their proximity to the Arctic Ocean. Nevertheless, the ice shelf appears to have weakened sufficiently in recent years to raise concerns about its possible disintegration in the near future. The 2002/2003 balance year was the most negative year on record (-0.33 m w eq for the ice rise and -0.54 m w eq for the ice shelf). Dynamical stresses related to wind, wave, and tidal action may further accelerate this process, as open water conditions on the Arctic Ocean become more prevalent. The Ward Hunt Ice Rise has so far remained in a reasonably healthy state in terms of its overall surface mass balance, although its long-term survival is also threatened by current and predicted future climatic conditions.</t>
  </si>
  <si>
    <t>Univ Massachusetts, Morrill Sci Ctr, Dept Geosci, Climate Syst Res Ctr, Amherst, MA 01003 USA; Parks Canada, Nunavut Field Unit, Iqaluit, NU X0A 0H0, Canada</t>
  </si>
  <si>
    <t>University of Massachusetts System; University of Massachusetts Amherst; Parks Canada</t>
  </si>
  <si>
    <t>Univ Massachusetts, Morrill Sci Ctr, Dept Geosci, Climate Syst Res Ctr, 611 N Pleasant St, Amherst, MA 01003 USA.</t>
  </si>
  <si>
    <t>carsten@geo.umass.edu</t>
  </si>
  <si>
    <t>Bradley, Raymond S/P-9358-2015</t>
  </si>
  <si>
    <t>Bradley, Raymond S/0000-0002-4032-9519</t>
  </si>
  <si>
    <t>D22</t>
  </si>
  <si>
    <t>D22110</t>
  </si>
  <si>
    <t>10.1029/2004JD004560</t>
  </si>
  <si>
    <t>877QD</t>
  </si>
  <si>
    <t>WOS:000225584200001</t>
  </si>
  <si>
    <t>Trudinger, CM; Etheridge, DM; Sturrock, GA; Fraser, PJ; Krummel, PB; McCulloch, A</t>
  </si>
  <si>
    <t>Atmospheric histories of halocarbons from analysis of Antarctic firn air: Methyl bromide, methyl chloride, chloroform, and dichloromethane</t>
  </si>
  <si>
    <t>methyl bromide; methyl chloride; chloroform; dichloromethane; chloromethane; firn</t>
  </si>
  <si>
    <t>GLOBAL MASS BALANCE; EMISSIONS INVENTORY; ICE CORE; TRICHLOROMETHANE CHLOROFORM; AGAGE OBSERVATIONS; CAPE GRIM; DECLINE; GASES; CHCL3; MODEL</t>
  </si>
  <si>
    <t>We reconstruct atmospheric levels of methyl bromide (CH3Br), methyl chloride (CH3Cl), chloroform (CHCl3), and dichloromethane (CH2Cl2) back to before 1940 using measurements of air extracted from firn on Law Dome in Antarctica. The firn air at this site has a relatively narrow age spread, giving high time resolution reconstructions. The CH3Br reconstructions confirm previously measured firn records but with more temporal structure. Our CH3Cl reconstruction is slightly different from previous reconstructions, raising some questions about CH3Cl in the firn. Our reconstructions for CHCl3 and CH2Cl2 are the first published records of concentration prior to direct atmospheric measurements. A two-box atmospheric model is used to investigate the budgets of these gases. Much of the variation in CH3Cl can be explained by biomass burning emissions that increase up to 1980 and then are relatively stable apart from some high burning years such as 1997-1998. The CHCl3 firn reconstruction suggests that the anthropogenic source for CHCl3 is greater than previously thought, with human influence on the soil source a possible important contributor here. The CH2Cl2 firn reconstruction is consistent with industrial emission estimates based on audited sales data but suggests that the ocean source of CH2Cl2 is less than previously estimated.</t>
  </si>
  <si>
    <t>CSIRO, Atmospher Res, Aspendale, Vic 3195, Australia; Univ Bristol, Sch Chem, Bristol BS8 1TS, Avon, England</t>
  </si>
  <si>
    <t>Commonwealth Scientific &amp; Industrial Research Organisation (CSIRO); University of Bristol</t>
  </si>
  <si>
    <t>CSIRO, Atmospher Res, PMB 1, Aspendale, Vic 3195, Australia.</t>
  </si>
  <si>
    <t>cathy.trudinger@csiro.au</t>
  </si>
  <si>
    <t>Krummel, Paul B/A-4293-2013; Fraser, Paul J. B./D-1755-2012; Trudinger, Cathy/A-2532-2008; Etheridge, David M/B-7334-2013</t>
  </si>
  <si>
    <t>Krummel, Paul B/0000-0002-4884-3678; Trudinger, Cathy/0000-0002-4844-2153; Etheridge, David/0000-0001-7970-2002</t>
  </si>
  <si>
    <t>D22310</t>
  </si>
  <si>
    <t>10.1029/2004JD004932</t>
  </si>
  <si>
    <t>WOS:000225584200004</t>
  </si>
  <si>
    <t>Gingele, FX; De Deckker, P; Hillenbrand, CD</t>
  </si>
  <si>
    <t>Late Quaternary terrigenous sediments from the Murray Canyons area, offshore South Australia and their implications for sea level change, palaeoclimate and palaeodrainage of the Murray-Darling Basin</t>
  </si>
  <si>
    <t>South Australia; late Quaternary; palaeoclimate; clay minerals; sea level change; Murray-Darling Basin</t>
  </si>
  <si>
    <t>LAST GLACIAL MAXIMUM; CLAY MINERAL DISTRIBUTION; GULF ST-VINCENT; BENTHIC FORAMINIFERA; SUBMARINE CANYONS; SURFACE SEDIMENTS; AEOLIAN DUST; INDICATORS; HISTORY; TRANSPORT</t>
  </si>
  <si>
    <t>Two sediment cores from. the deep-sea Murray Canyons area, south of Kangaroo Island, Australia were investigated for quantity and composition of terrigenous material. Spanning the last 175 ka, terrigenous matter from these cores provides evidence for changes in sea level and palaeoclimate of the adjacent Australian continent. Located offshore Australia's major river system, the Murray-Darling, the sediment cores record varying inputs of suspended river clays. High input prevails during glacial periods, when sea level is low and the river discharges directly at the edge of the continental shelf Today, and during previous periods of high sea level, the Mouth of the River Murray is more than 200 km away from the core sites, sedimentation of terrigenous matter is reduced and consists primarily of aeolian dust. However, even during periods of high sea level in the early Holocene (11-6 ka), river clays reached the core site, indicating a stronger discharge from the Murray and more humid conditions in the catchment area. The present mode of low-input aeolian sedimentation over the core sites was only established 4 ka ago. Differences in composition of the river clays between the penultimate glacial (isotope stage 6) and the last glacial maximum (isotope stage 2; LGM), as well as different clay mineral assemblages between the two cores during the LGM suggest that palaeodrainage on the exposed shelf varied between sea level lowstands. Minute changes in shelf morphology could have prevented the Palaeo-River Vincent, a river which drained the glacially dry Gulf St. Vincent, from joining the course of the Murray during the LGM. Clay mineral evidence suggests that this palaeo-river did join the Murray during the penultimate glacial and significantly altered the clay mineral signature from the Murray-Darling catchment area. (C) 2004 Elsevier B.V. All rights reserved.</t>
  </si>
  <si>
    <t>Australian Natl Univ, Dept Earth &amp; Marine Sci, Canberra, ACT 0200, Australia; British Antarctic Survey, Cambridge CB3 0ET, England</t>
  </si>
  <si>
    <t>Australian National University; UK Research &amp; Innovation (UKRI); Natural Environment Research Council (NERC); NERC British Antarctic Survey</t>
  </si>
  <si>
    <t>Australian Natl Univ, Dept Earth &amp; Marine Sci, Canberra, ACT 0200, Australia.</t>
  </si>
  <si>
    <t>patrick.dedeckker@anu.edu.au</t>
  </si>
  <si>
    <t>10.1016/j.margeo.2004.09.001</t>
  </si>
  <si>
    <t>875KH</t>
  </si>
  <si>
    <t>WOS:000225418600011</t>
  </si>
  <si>
    <t>Banerjee, M; Sharma, BD</t>
  </si>
  <si>
    <t>Astrobiology - A new emerging field of biological sciences</t>
  </si>
  <si>
    <t>CURRENT SCIENCE</t>
  </si>
  <si>
    <t>ANTARCTIC COLD DESERT; MICROBIAL DIVERSITY; MARS; COMMUNITIES; SURFACE</t>
  </si>
  <si>
    <t>Barkatullah Univ, Dept Biosci, Lab Algal Biotechnol, Bhopal 462026, India</t>
  </si>
  <si>
    <t>Barkatullah University</t>
  </si>
  <si>
    <t>Banerjee, M (corresponding author), Barkatullah Univ, Dept Biosci, Lab Algal Biotechnol, Bhopal 462026, India.</t>
  </si>
  <si>
    <t>meenakshi_banerjee@indiatimes.com</t>
  </si>
  <si>
    <t>INDIAN ACAD SCIENCES</t>
  </si>
  <si>
    <t>BANGALORE</t>
  </si>
  <si>
    <t>C V RAMAN AVENUE, SADASHIVANAGAR, P B #8005, BANGALORE 560 080, INDIA</t>
  </si>
  <si>
    <t>0011-3891</t>
  </si>
  <si>
    <t>CURR SCI INDIA</t>
  </si>
  <si>
    <t>Curr. Sci.</t>
  </si>
  <si>
    <t>NOV 25</t>
  </si>
  <si>
    <t>877PG</t>
  </si>
  <si>
    <t>WOS:000225581900015</t>
  </si>
  <si>
    <t>Liang, ZX; Tsigos, I; Lee, T; Bouriotis, V; Resing, KA; Ahn, NG; Klinman, JP</t>
  </si>
  <si>
    <t>Evidence for increased local flexibility in psychrophilic alcohol dehydrogenase relative to its thermophilic homologue</t>
  </si>
  <si>
    <t>BIOCHEMISTRY</t>
  </si>
  <si>
    <t>HYDROGEN-EXCHANGE; TEMPERATURE ADAPTATION; COLD ADAPTATION; CONFORMATIONAL FLEXIBILITY; STRUCTURAL ADAPTATIONS; PROTEIN FLEXIBILITY; DIRECTED EVOLUTION; CRYSTAL-STRUCTURE; ENZYME; STABILITY</t>
  </si>
  <si>
    <t>The psychrophilic alcohol dehydrogenase (psADH) cloned from Antarctic Moraxella sp. TAE123 exhibits distinctive catalytic parameters in relation to the homologous thermophilic alcohol dehydrogenase (htADH) from Bacillus stearothermophilus LLD-R. Amide hydrogen-deuterium, H/D) exchange studies using Fourier-transformed infrared (FTIR) spectroscopy and mass spectrometry (MS) were conducted to investigate whether the differences are caused by variation in either global or regional protein flexibility. The FTIR H/D exchange study suggested that psADH does not share similar global flexibility with htADH at their physiologically relevant temperatures as has been predicted by the corresponding state hypothesis. However, the MS H/D exchange study revealed a more complicated picture concerning the flexibility of the two homologous enzymes. Analysis of the deuteration and exchange rates of protein-derived peptides suggested that only some functionally important regions in psADH that are involved in substrate and cofactor binding exhibit greater flexibility compared to htADH at low temperature (10 degreesC). These observations strongly suggest that variable conformational flexibility between the two protein forms is a local phenomenon, and that global H/D exchange measurement by FTIR can be misleading and should be used with discretion. These results are supportive of the idea that functionally important local flexibility can be uncoupled from global thermal stability. The structural factors underlying the differences in local protein flexibility and catalysis between htADH and psADH are discussed in conjunction with results from crystallographic and fluorescence spectroscopy studies.</t>
  </si>
  <si>
    <t>Univ Calif Berkeley, Dept Chem, Berkeley, CA 94720 USA; Univ Calif Berkeley, Dept Cell &amp; Mol Biol, Berkeley, CA 94720 USA; Dept Heraklion, Gen Chem State Lab, Iraklion, Crete, Greece; Univ Colorado, Dept Chem &amp; Biochem, Boulder, CO 80309 USA; Univ Crete, Dept Biol, Div Appl Biol &amp; Biotechnol, Iraklion, Greece; Inst Mol Biol &amp; Biotechnol, Enzyme Technol Div, Iraklion, Crete, Greece</t>
  </si>
  <si>
    <t>University of California System; University of California Berkeley; University of California System; University of California Berkeley; University of Colorado System; University of Colorado Boulder; University of Crete</t>
  </si>
  <si>
    <t>Univ Calif Berkeley, Dept Chem, Berkeley, CA 94720 USA.</t>
  </si>
  <si>
    <t>klinman@socrates.berkeley.edu</t>
  </si>
  <si>
    <t>Liang, Zhao-Xun/A-2191-2011</t>
  </si>
  <si>
    <t>Liang, Zhao-Xun/0000-0002-3128-1330</t>
  </si>
  <si>
    <t>NCI NIH HHS [CA87648] Funding Source: Medline; NIGMS NIH HHS [GM48521, T32 GM07135] Funding Source: Medline</t>
  </si>
  <si>
    <t>NCI NIH HHS(United States Department of Health &amp; Human ServicesNational Institutes of Health (NIH) - USANIH National Cancer Institute (NCI)); NIGMS NIH HHS(United States Department of Health &amp; Human ServicesNational Institutes of Health (NIH) - USANIH National Institute of General Medical Sciences (NIGMS))</t>
  </si>
  <si>
    <t>AMER CHEMICAL SOC</t>
  </si>
  <si>
    <t>1155 16TH ST, NW, WASHINGTON, DC 20036 USA</t>
  </si>
  <si>
    <t>0006-2960</t>
  </si>
  <si>
    <t>BIOCHEMISTRY-US</t>
  </si>
  <si>
    <t>Biochemistry</t>
  </si>
  <si>
    <t>NOV 23</t>
  </si>
  <si>
    <t>10.1021/bi049004x</t>
  </si>
  <si>
    <t>871YO</t>
  </si>
  <si>
    <t>WOS:000225172800018</t>
  </si>
  <si>
    <t>Raimo, G; Lombardo, B; Masullo, M; Lamberti, A; Longo, O; Arcari, P</t>
  </si>
  <si>
    <t>Elongation factor Ts from the Antarctic eubacterium Pseudoalteromonas haloplanktis TAC 125:: Biochemical characterization and cloning of the encoding gene</t>
  </si>
  <si>
    <t>NUCLEOTIDE EXCHANGE FACTOR; COLI EF-TU; ESCHERICHIA-COLI; THERMUS-THERMOPHILUS; PSYCHROPHILIC ENZYMES; COMPLEX; PURIFICATION; SEQUENCE; DOMAIN; GDP</t>
  </si>
  <si>
    <t>The elongation factor Ts was isolated from the psychrophilic Antarctic eubacterium Pseudoalteromonas haloplanktis TAC 125 strain (PhEF-Ts), and its functional properties were studied. At 0 degreesC PhEF-Ts enhanced the [H-3]GDP/GDP exchange rate on the preformed PhEF-Tu-[H-3]GDP complex by 2 orders of magnitude even at very low Tu:Ts ratio, by lowering the energy of activation of the exchange reaction. PhEF-Ts is a monomeric protein, and in solution it forms a stable dimeric complex with PhEF-Tu. The PhEF-Ts encoding gene was cloned and sequenced. Its structural organization was similar to that of Escherichia coli because it showed at its 5' end the gene encoding the ribosomal protein S2. The translated amino acid sequence had a calculated molecular weight of 30762, and showed a high sequence identity with E. coli (68%) and Thermus thermophilus (44%) EF-Ts. The PhEF-Ts primary structure contains well-preserved almost all the amino acid residues interacting at the interfaces of the E. coli EF-Ts-EF-Tu complex. Finally, the high concentration of PhEF-Ts in this psychrophilic eubacterium might represent an adaptive tool to ensure an efficient nucleotide exchange even at low temperature.</t>
  </si>
  <si>
    <t>Univ Naples Federico II, Dipartimento Biochim &amp; Biotecnol Med, I-80131 Naples, Italy; Univ Molise, Dipartimento Sci &amp; Tecnol Ambiente &amp; Terr, I-86170 Isernia, Italy; CEINGE Biotecnol Avanzate SC RL, I-80145 Naples, Italy; Univ Studi Catanzaro Magna Graecia, Dipartimento Sci Farmacobiol, I-88021 Catanzaro, Italy</t>
  </si>
  <si>
    <t>University of Naples Federico II; University of Molise; CEINGE Biotecnologie Avanzate</t>
  </si>
  <si>
    <t>Univ Naples Federico II, Dipartimento Biochim &amp; Biotecnol Med, Via Sergio Pansini 5, I-80131 Naples, Italy.</t>
  </si>
  <si>
    <t>arcari@dbbm.unina.it</t>
  </si>
  <si>
    <t>Raimo, Gennaro/F-4651-2012; Masullo, Mariorosario/H-4884-2016</t>
  </si>
  <si>
    <t>Raimo, Gennaro/0000-0003-0365-7430; Masullo, Mariorosario/0000-0003-4485-7383; Lamberti, Annalisa/0000-0002-5498-2930; Lombardo, Barbara/0000-0003-3884-1043</t>
  </si>
  <si>
    <t>10.1021/bi048949b</t>
  </si>
  <si>
    <t>WOS:000225172800026</t>
  </si>
  <si>
    <t>Hernández-Molina, FJ; Larter, RD; Rebesco, M; Maldonado, A</t>
  </si>
  <si>
    <t>Miocene changes in bottom current regime recorded in continental rise sediments on the Pacific margin of the Antarctic Peninsula -: art. no. L22606</t>
  </si>
  <si>
    <t>A Fossil Mounded Sedimentary Body (MB) has been identified in the Miocene sedimentary record on the central continental rise west of Adelaide Island, Antarctic Peninsula, using multichannel seismic reflection profiles. The MB has an elongated NE trend away from a group of seamounts, and it developed between two troughs. We interpret it as a patch drift plastered against the NE (lee) side of an obstacle. The MB's depositional patterns provide the first clear evidence of Early Miocene bottom current activity on the central rise, and they suggest that flow was towards the NE, probably as part of the Antarctic Circumpolar Current. This segment of the rise is, however, presently affected by a SW-flowing branch of Lower Circumpolar Deep Water. The change in bottom water flow took place during the Middle or Late Miocene, and we suggest that it is probably indicative of more widespread palaeoceanographic changes during this period.</t>
  </si>
  <si>
    <t>Univ Vigo, Dpto Geociencias Marinas, E-36200 Vigo, Spain; British Antarctic Survey, Cambridge CB3 0ET, England; Ist Nazl Oceanog &amp; Geofis Sperimentale, Trieste, Italy; Inst Andaluz Ciencias Tierra, Granada, Spain</t>
  </si>
  <si>
    <t>Universidade de Vigo; UK Research &amp; Innovation (UKRI); Natural Environment Research Council (NERC); NERC British Antarctic Survey; Istituto Nazionale di Oceanografia e di Geofisica Sperimentale; Consejo Superior de Investigaciones Cientificas (CSIC); CSIC - Instituto Andaluz de Ciencias de la Tierra (IACT)</t>
  </si>
  <si>
    <t>Univ Vigo, Dpto Geociencias Marinas, E-36200 Vigo, Spain.</t>
  </si>
  <si>
    <t>fjhernan@uvigo.es</t>
  </si>
  <si>
    <t>Rebesco, Michele/B-7462-2014</t>
  </si>
  <si>
    <t>Rebesco, Michele/0000-0002-9492-4081; Larter, Robert/0000-0002-8414-7389</t>
  </si>
  <si>
    <t>L22606</t>
  </si>
  <si>
    <t>10.1029/2004GL020298</t>
  </si>
  <si>
    <t>875NY</t>
  </si>
  <si>
    <t>WOS:000225428600003</t>
  </si>
  <si>
    <t>de los Ríos, A; Wierzchos, J; Sancho, LG; Ascaso, C</t>
  </si>
  <si>
    <t>Exploring the physiological state of continental Antarctic endolithic microorganisms by microscopy</t>
  </si>
  <si>
    <t>FEMS MICROBIOLOGY ECOLOGY</t>
  </si>
  <si>
    <t>Antarctica; cyanobacteria; fungi; endolithic biofilms; EPS; lithobionts; physiological state; ultrastructure</t>
  </si>
  <si>
    <t>ROCK; BIOMARKERS; DIVERSITY; LIMESTONE; BACTERIA; LIFE</t>
  </si>
  <si>
    <t>In this microscopy study, we show that microorganisms comprising many endolithic communities of the McMurdo Dry Valleys of Antarctica appear in different physiological states. Live/dead microbial fluorescence stains were used to identify the state of microorganisms in the biofilms. The ultrastructures of these microorganisms were then characterized by transmission electron microscopy. Cyanobacteria were associated with heterotrophic bacterial cells, while fungal cells were free-living or formed partners with green alga as lichens. The extracellular polymeric substances, in which the endolithic microorganisms were embedded, formed an integral part of the biofilms observed. Extracellular polymeric substances probably play a significant role in nutrient interactions and protection of microorganisms from the environmental conditions outside the film. Living, moribund, dormant and dead microorganisms shared this microhabitat. The ecological impacts of the observed physiological dynamics are discussed. (C) 2004 Federation of European Microbiological Societies. Published by Elsevier B.V. All rights reserved.</t>
  </si>
  <si>
    <t>CSIC, Ctr Ciencias Medioambientales, Madrid 28006, Spain; UDL, Serv Microscopia Elect, Lleida, Spain; Univ Complutense Madrid, E-28040 Madrid, Spain</t>
  </si>
  <si>
    <t>Consejo Superior de Investigaciones Cientificas (CSIC); CSIC - Centro de Ciencias Medioambientales (CCMA); Universitat de Lleida; Complutense University of Madrid</t>
  </si>
  <si>
    <t>CSIC, Ctr Ciencias Medioambientales, Serrano 115 Bis, Madrid 28006, Spain.</t>
  </si>
  <si>
    <t>arios@ccma.csic.es</t>
  </si>
  <si>
    <t>de los Rios, Asuncion/L-3694-2014; Sancho, leopoldo G./H-2974-2013; Wierzchos, Jacek/F-7036-2011; SANCHO, LEOPOLDO/G-9120-2015; Ascaso, Carmen/F-5369-2011</t>
  </si>
  <si>
    <t>de los Rios, Asuncion/0000-0002-0266-3516; Wierzchos, Jacek/0000-0003-3084-3837; SANCHO, LEOPOLDO/0000-0002-4751-7475; Ascaso, Carmen/0000-0001-9665-193X</t>
  </si>
  <si>
    <t>0168-6496</t>
  </si>
  <si>
    <t>1574-6941</t>
  </si>
  <si>
    <t>FEMS MICROBIOL ECOL</t>
  </si>
  <si>
    <t>FEMS Microbiol. Ecol.</t>
  </si>
  <si>
    <t>NOV 22</t>
  </si>
  <si>
    <t>10.1016/j.femsec.2004.06.010</t>
  </si>
  <si>
    <t>874RG</t>
  </si>
  <si>
    <t>WOS:000225366900002</t>
  </si>
  <si>
    <t>Zdanowski, MK; Weglenski, P; Golik, P; Sasin, JM; Borsuk, P; Zmuda, MJ; Stankovic, A</t>
  </si>
  <si>
    <t>Bacterial diversity in Adelie penguin, Pygoscelis adeliae, guano:: molecular and morpho-physiological approaches</t>
  </si>
  <si>
    <t>Antarctica; bacterial diversity; penguin guano; 16S rDNA</t>
  </si>
  <si>
    <t>KING-GEORGE-ISLAND; ARCTOWSKI-STATION; SEQUENCE; SOILS</t>
  </si>
  <si>
    <t>The total number of bacteria and culturable bacteria in Adelie penguin (Pygoscelis adeliae) guano was determined during 42 days of decomposition in a location adjacent to the rookery in Admiralty Bay, King George Island, Antarctica. Of the culturable bacteria, 72 randomly selected colonies were described using 49 morpho-physiological tests, 27 of which were subsequently considered significant in characterizing and differentiating the isolates. On the basis of the nucleotide sequence of a fragment of the 16S rRNA gene in each of 72 pure isolates, three major phylogenetic groups were identified, namely the Moraxellaceae/Pseucloinonadaceae (29 isolates), the Flavobacteriaceae (14), and the Micrococcaceae (29). Grouping of the isolates on the basis of morpho-physiological tests (whether 49 or 27 parameters) showed similar results to those based on 16S rRNA gene sequences. Clusters were characterized by considerable intra-cluster variation in both 16S rRNA gene sequences and morpho-physiological responses. High diversity in abundance and morphometry of total bacterial communities during penguin guano decomposition was supported by image analysis of epifluorescence micrographs. The results indicate that the bacterial community in penguin guano is not only one of the richest in Antarctica, but is extremely diverse, both phylogenetically and morpho-physiologically. (C) 2004 Federation of European Microbiological Societies. Published by Elsevier B.V. All rights reserved.</t>
  </si>
  <si>
    <t>Polish Acad Sci, Dept Antarctic Biol, PL-02141 Warsaw, Poland; Warsaw Univ, Dept Genet, PL-02106 Warsaw, Poland; Polish Acad Sci, Int Inst Mol &amp; Cell Biol, Lab Bioinformat &amp; Prot Engn, PL-02109 Warsaw, Poland; Univ Warsaw, Ctr Archeol Res Novae, PL-02089 Warsaw, Poland</t>
  </si>
  <si>
    <t>Polish Academy of Sciences; University of Warsaw; Polish Academy of Sciences; Miedzynarodowy Instytut Biologii Molekularnej i Komorkowej; University of Warsaw</t>
  </si>
  <si>
    <t>Polish Acad Sci, Dept Antarctic Biol, Ustrzycka 10, PL-02141 Warsaw, Poland.</t>
  </si>
  <si>
    <t>marek@dab.waw.pl</t>
  </si>
  <si>
    <t>Golik, Pawel/CAF-0299-2022; Ziemka, Agnieszka/AAT-3560-2021; Golik, Pawel/D-7788-2011</t>
  </si>
  <si>
    <t>Golik, Pawel/0000-0001-7814-482X; Golik, Pawel/0000-0001-7814-482X; Weglenski, Piotr/0000-0002-7779-1475; Zmuda-Baranowska, Magdalena/0000-0003-0645-3396</t>
  </si>
  <si>
    <t>10.1016/j.femsec.2004.06.012</t>
  </si>
  <si>
    <t>hybrid</t>
  </si>
  <si>
    <t>WOS:000225366900004</t>
  </si>
  <si>
    <t>Bendle, J; Rosell-Melé, A</t>
  </si>
  <si>
    <t>Distributions of U37K and U37′K in the surface waters and sediments of the Nordic Seas:: Implications for paleoceanography -: art. no. Q11013</t>
  </si>
  <si>
    <t>alkenones; paleotemperature; calibration; Nordic Seas; oceanography : general : Arctic and Antarctic oceanography; oceanography : general : paleoceanography; oceanography : biological and chemical : organic marine chemistry</t>
  </si>
  <si>
    <t>LONG-CHAIN ALKENONES; LIPID BIOMARKER COMPOUNDS; NORWEGIAN-GREENLAND SEA; CORE-TOP CALIBRATION; NORTH-ATLANTIC; EMILIANIA-HUXLEYI; PALEOTEMPERATURE ESTIMATION; EARLY DIAGENESIS; TEMPERATURE; OCEAN</t>
  </si>
  <si>
    <t>In this paper we revise the application of the U-37'(K) and U-37 indices as sea surface temperature (SST) proxies in the Nordic Seas. In the summer of 1999 and 2000 we obtained samples of filtered particulate organic matter (POM) from surface waters (similar to6 m depth) of the Nordic Seas. A number of samples were collected from polar waters with up to 80% of sea ice cover. Alkenones were detected in all of the major water masses of the Nordic seas, across a spectrum of SST values from -0.5 to 13degreesC and SSS values from 29.6 to 35.6 (psu). Concentrations of alkenones were similar in magnitude to those reported previously for the North Atlantic and the Southern Ocean. Values of U-37'(K) from the new Nordic Seas POM data show no correlation with SST below 8degreesC. In contrast, below this temperature a linear correlation exists between U-37(K) and regional SST, supporting previous suggestions that, overall, U-37(K) may be a more appropriate SST index for the region. It must be noted however that U-37(K) is calculated using the tetraunsaturated alkenone, and the dominant control on this compound is not yet fully understood. The new data highlight major differences between distributions of U-37(K) and U-37'(K) in the water column POM and surficial sediments of the Nordic Seas. We also examine the geographical dependence of the U-37'(K) versus SST relationship in the region's surficial sediments. Some areas are associated with unreliable SST estimates, whereas in others the U-37'(K) versus SST relationship falls within the range of a global core top calibration. It is suggested that the breakdown of the U-37'(K)-SST relationship in some regions is due to ecological and sedimentological factors. The latter relates to the extension of the habitats of alkenone producers in polar waters. The former to the resuspension of sediments and laterally transported alkenone inputs. This suggests that accurate alkenone derived SST estimates in the Nordic seas are geographically constrained.</t>
  </si>
  <si>
    <t>Univ Durham, Dept Geog, Environm Res Ctr, Durham DH1 3LE, England</t>
  </si>
  <si>
    <t>Durham University</t>
  </si>
  <si>
    <t>Bendle, J (corresponding author), Hokkaido Univ, Inst Low Temp Sci, Organ Geochem Grp Study Ocean &amp; Atmosphere, Kita Ku, N19,W8, Sapporo, Hokkaido 0600819, Japan.</t>
  </si>
  <si>
    <t>bendle@pop.lowtem.hokudai.ac.jp; antoni.rosell@icrea.es</t>
  </si>
  <si>
    <t>Rosell-Melé, Antoni/B-3433-2013</t>
  </si>
  <si>
    <t>Rosell-Melé, Antoni/0000-0002-5513-2647; Bendle, James/0000-0002-6826-8658</t>
  </si>
  <si>
    <t>NOV 20</t>
  </si>
  <si>
    <t>Q11013</t>
  </si>
  <si>
    <t>10.1029/2004GC000741</t>
  </si>
  <si>
    <t>875DI</t>
  </si>
  <si>
    <t>WOS:000225399500002</t>
  </si>
  <si>
    <t>Hall, MM; Joyce, TM; Pickart, RS; Smethie, WM; Torres, DJ</t>
  </si>
  <si>
    <t>Zonal circulation across 52°W in the North Atlantic -: art. no. C11008</t>
  </si>
  <si>
    <t>North Atlantic Circulation; Gulf Stream; Deep Western Boundary Current</t>
  </si>
  <si>
    <t>WESTERN BOUNDARY CURRENT; GULF-STREAM; GRAND-BANKS; TRANSPORT; OCEAN; 66-DEGREES-W; VARIABILITY; SLOPEWATER; VELOCITY; WATER</t>
  </si>
  <si>
    <t>In July-August 1997, a hydrographic/Acoustic Doppler Current Profiler (ADCP)/tracer section was occupied along 52degreesW in the North Atlantic as part of the World Ocean Circulation Experiment Hydrographic Program. Underway and lowered ADCP (LADCP) data have been used to reference geostrophic velocities calculated from the hydrographic data; additional (small) velocity adjustments provided by an inverse model, constraining mass and silicate transports in 17 neutral density layers, yield the absolute zonal velocity field for 52degreesW. We find a vigorous circulation throughout the entire section, with an unusually strong Gulf Stream (169 Sv) and southern Deep Western Boundary Current (DWBC; 64 Sv) at the time of the cruise. At the northern boundary, on the west side of the Grand Banks of Newfoundland, we find the westward flowing Labrador Current (8.6 Sv), whose continuity from the Labrador Sea, east of our section, has been disputed. Directly to the south we identify the slopewater current (12.5 Sv eastward) and northern DWBC (12.5 Sv westward). Strong departures from strictly zonal flow in the interior, which are found in the LADCP data, make it difficult to diagnose the circulation there. Isolated deep property extrema in the southern portion, associated with alternating bands of eastward and westward flow, are consistent with the idea that the rough topography of the Mid-Atlantic Ridge, directly east of our section, causes enhanced mixing of Antarctic Bottom Water properties into overlying waters with distinctly different properties. We calculate heat and freshwater fluxes crossing 52degreesW that exceed estimates based on air-sea exchanges by a factor of 1.7.</t>
  </si>
  <si>
    <t>Woods Hole Oceanog Inst, Dept Phys Oceanog, Woods Hole, MA 02543 USA; Columbia Univ, Lamont Doherty Earth Observ, Palisades, NY 10964 USA</t>
  </si>
  <si>
    <t>Woods Hole Oceanographic Institution; Columbia University</t>
  </si>
  <si>
    <t>Hall, MM (corresponding author), Woods Hole Oceanog Inst, Dept Phys Oceanog, Woods Hole, MA 02543 USA.</t>
  </si>
  <si>
    <t>mhall@whoi.edu</t>
  </si>
  <si>
    <t>NOV 18</t>
  </si>
  <si>
    <t>C11</t>
  </si>
  <si>
    <t>C11008</t>
  </si>
  <si>
    <t>10.1029/2003JC002103</t>
  </si>
  <si>
    <t>875DU</t>
  </si>
  <si>
    <t>WOS:000225400800001</t>
  </si>
  <si>
    <t>Jones, JM; Widmann, M</t>
  </si>
  <si>
    <t>Atmospheric science - Early peak in Antarctic oscillation index</t>
  </si>
  <si>
    <t>HEMISPHERE CLIMATE-CHANGE</t>
  </si>
  <si>
    <t>GKSS Forschungszentrum Geesthacht GmbH, Inst Coastal Res, D-21502 Geesthacht, Germany</t>
  </si>
  <si>
    <t>Helmholtz Association; Helmholtz-Zentrum Hereon</t>
  </si>
  <si>
    <t>Jones, JM (corresponding author), GKSS Forschungszentrum Geesthacht GmbH, Inst Coastal Res, D-21502 Geesthacht, Germany.</t>
  </si>
  <si>
    <t>jones@gkss.de</t>
  </si>
  <si>
    <t>; Widmann, Martin/P-5178-2015</t>
  </si>
  <si>
    <t>Jones, Julie/0000-0003-2892-8647; Widmann, Martin/0000-0001-5447-5763</t>
  </si>
  <si>
    <t>10.1038/432290b</t>
  </si>
  <si>
    <t>871UX</t>
  </si>
  <si>
    <t>WOS:000225161400032</t>
  </si>
  <si>
    <t>Schumacher, S; Lazarus, D</t>
  </si>
  <si>
    <t>Regional differences in pelagic productivity in the late Eocene to early Oligocene - a comparison lower la of southern high latitudes and titudes</t>
  </si>
  <si>
    <t>PALAEOGEOGRAPHY PALAEOCLIMATOLOGY PALAEOECOLOGY</t>
  </si>
  <si>
    <t>Workshop on Mesozoic-Cenozoic Bioevents</t>
  </si>
  <si>
    <t>Berlin, GERMANY</t>
  </si>
  <si>
    <t>Eocene-Oligocene boundary; paleoproductivity; Antarctic; equatorial oceans; paleoceanography</t>
  </si>
  <si>
    <t>EASTERN EQUATORIAL PACIFIC; SEA BENTHIC FORAMINIFERS; DRILLING PROJECT LEG-85; NORTHEAST ATLANTIC; FALKLAND PLATEAU; MIDDLE EOCENE; INDIAN-OCEAN; SCOTIA SEA; MAUD-RISE; PALEOPRODUCTIVITY</t>
  </si>
  <si>
    <t>Paleoproductivity patterns at the Eocene-Oligocene boundary in southern high latitudes and in the equatorial oceans were synthesized from the literature. Three ODP/DSDP sites from the Southern Ocean (Sites 689, 748 and 5 11) were compared with three DSDP/ODP sites from the equatorial oceans (Sites 574, 462 and 959). Paleoproductivity was estimated by multiple sedimentological, biological and geochemical proxies. Changes in paleoproductivity at the Eocene-Oligocene boundary mainly took place in the southern high latitudes. At Site 689, the benthic foraminiferal fauna also indicates an increase in seasonality. In equatorial oceans, there are no indications for a shift to higher paleoproductivity at the Eocene-Oligocene boundary. On the contrary at Site 959, sedimentology documents decreasing paleoproductivity in the Oligocene. Major changes in temperature and ocean circulation in southern high latitudes versus only minor changes in the lower latitudes were probably responsible for the geographically different changes in paleoproductivity. (C) 2004 Elsevier B.V. All rights reserved.</t>
  </si>
  <si>
    <t>Inst Paleontol, Museum Naturkunde, D-10115 Berlin, Germany</t>
  </si>
  <si>
    <t>Leibniz Institut fur Evolutions und Biodiversitatsforschung</t>
  </si>
  <si>
    <t>Univ Angers, UFR Sci, Dept Geol, Lab Recent &amp; Fossil Bioindicators, 2 Bvd Lavoisier, F-49045 Angers, France.</t>
  </si>
  <si>
    <t>stefanie.schumacher@univ-angers.fr</t>
  </si>
  <si>
    <t>Schumacher, Stefanie/R-6427-2017</t>
  </si>
  <si>
    <t>0031-0182</t>
  </si>
  <si>
    <t>1872-616X</t>
  </si>
  <si>
    <t>PALAEOGEOGR PALAEOCL</t>
  </si>
  <si>
    <t>Paleogeogr. Paleoclimatol. Paleoecol.</t>
  </si>
  <si>
    <t>10.1016/j.palaeo.2004.06.018</t>
  </si>
  <si>
    <t>Geography, Physical; Geosciences, Multidisciplinary; Paleontology</t>
  </si>
  <si>
    <t>Physical Geography; Geology; Paleontology</t>
  </si>
  <si>
    <t>872II</t>
  </si>
  <si>
    <t>WOS:000225200500006</t>
  </si>
  <si>
    <t>Montzka, SA; Aydin, M; Battle, M; Butler, JH; Saltzman, ES; Hall, BD; Clarke, AD; Mondeel, D; Elkins, JW</t>
  </si>
  <si>
    <t>A 350-year atmospheric history for carbonyl sulfide inferred from Antarctic firn air and air trapped in ice</t>
  </si>
  <si>
    <t>atmosphere composition; carbonyl sulfide; stratosphere sulfate aerosol</t>
  </si>
  <si>
    <t>GAS CONCENTRATIONS; POLAR FIRN; TRENDS; MASS; OCS; HALOCARBONS; DISULFIDE; LIFETIMES; RECORD; COLUMN</t>
  </si>
  <si>
    <t>[1] Carbonyl sulfide ( COS) and other trace gases were measured in firn air collected near South Pole (89.98degreesS) and from air trapped in ice at Siple Dome, Antarctica (81.65degreesS). The results, when considered with ambient air data and previous ice core measurements, provide further evidence that atmospheric mixing ratios of COS over Antarctica between 1650 and 1850 A. D. were substantially lower than those observed today. Specifically, the results suggest annual mean COS mixing ratios between 300 and 400 pmol mol(-1) (ppt) during 1650 - 1850 A. D. and increases throughout most of the twentieth century. Measurements of COS in modern air and in the upper layers of the firn at South Pole indicate ambient, annual mean mixing ratios between 480 and 490 ppt with substantial seasonal variations. Peak mixing ratios are observed during austral summer in ambient air at South Pole and Cape Grim, Tasmania (40.41degreesS). Provided COS is not produced or destroyed in firn, these results also suggest that atmospheric COS mixing ratios have decreased 60 - 90 ppt ( 10 - 16%) since the 1980s in high latitudes of the Southern Hemisphere. The history derived for atmospheric mixing ratios of COS in the Southern Hemisphere since 1850 is closely related to historical anthropogenic sulfur emissions. The fraction of anthropogenic sulfur emissions released as COS ( directly or indirectly) needed to explain the secular changes in atmospheric COS over this period is 0.3 - 0.6%.</t>
  </si>
  <si>
    <t>NOAA, Climate Monitoring &amp; Diagnost Lab, Boulder, CO 80305 USA; Univ Calif Irvine, Irvine, CA 92697 USA; Bowdoin Coll, Dept Phys &amp; Astron, Brunswick, ME 04011 USA; Univ Colorado, Cooperat Inst Res Environm Sci, Boulder, CO 80309 USA</t>
  </si>
  <si>
    <t>National Oceanic Atmospheric Admin (NOAA) - USA; University of California System; University of California Irvine; Bowdoin College; University of Colorado System; University of Colorado Boulder</t>
  </si>
  <si>
    <t>NOAA, Climate Monitoring &amp; Diagnost Lab, Boulder, CO 80305 USA.</t>
  </si>
  <si>
    <t>stephen.a.montzka@noaa.gov</t>
  </si>
  <si>
    <t>montzka, stephen/V-6162-2019; Hall, Bradley/HZH-3492-2023</t>
  </si>
  <si>
    <t>montzka, stephen/0000-0002-9396-0400; Hall, Bradley/0000-0002-2451-8416</t>
  </si>
  <si>
    <t>NOV 17</t>
  </si>
  <si>
    <t>D22302</t>
  </si>
  <si>
    <t>10.1029/2004JD004686</t>
  </si>
  <si>
    <t>875DO</t>
  </si>
  <si>
    <t>WOS:000225400100002</t>
  </si>
  <si>
    <t>Freeman, MP; Chisham, G</t>
  </si>
  <si>
    <t>On the probability distributions of SuperDARN Doppler spectral width measurements inside and outside the cusp</t>
  </si>
  <si>
    <t>HF-RADAR; BOUNDARY-LAYER; RECONNECTION</t>
  </si>
  <si>
    <t>The Doppler spectral width of backscatter from the SuperDARN HF radars has been routinely used to identify the ionospheric cusp. The probability distribution of spectral width values has been described as Gaussian ( normal) in the cusp and exponential equatorward of it. Here we re-examine the empirical distributions and show that they are better described by a log-Levy distribution in both the cusp and non-cusp regions, with the same Levy index a approximate to 1.85 but varying Levy location parameter. The spectral width distribution may also be log-Levy at other magnetic local times, but with generally different parameters.</t>
  </si>
  <si>
    <t>British Antarctic Survey, NERC, Cambridge CB3 0ET, England</t>
  </si>
  <si>
    <t>mpf@bas.ac.uk</t>
  </si>
  <si>
    <t>Freeman, Mervyn/E-5687-2019</t>
  </si>
  <si>
    <t>Freeman, Mervyn/0000-0002-8653-8279</t>
  </si>
  <si>
    <t>NOV 16</t>
  </si>
  <si>
    <t>L22802</t>
  </si>
  <si>
    <t>10.1029/2004GL020923</t>
  </si>
  <si>
    <t>875DJ</t>
  </si>
  <si>
    <t>WOS:000225399600001</t>
  </si>
  <si>
    <t>Tikku, AA; Bell, RE; Studinger, M; Clarke, GKC</t>
  </si>
  <si>
    <t>Ice flow field over Lake Vostok, East Antarctica inferred by structure tracking</t>
  </si>
  <si>
    <t>Lake Vostok; subglacial lakes; East Antarctica; ice-penetrating radar; airborne geophysics</t>
  </si>
  <si>
    <t>SUBGLACIAL LAKE; FRAMEWORK; SHEET; MODEL</t>
  </si>
  <si>
    <t>Here, we present a flow field for the East Antarctic ice sheet over Lake Vostok based on tracking structures across the lake inherited from the western, upstream shoreline. The structures, distinctive peaks and troughs identified in the ice sheet internal layers, are imaged in ice-penetrating radar data collected in a systematic grid over the lake. These structures are resolved in three distinct internal layers at depths between 900 and 3750 in. Ridges in the internal layers are associated with prominent topographic highs along the western shoreline, and troughs are correlated with shoreline topographic lows. Lake Vostok is bisected by a topographic ice divide; south of this topographic divide the ice flow is dominantly NNW to SSE and north of the divide the ice flow is W to E. The flow over the lake is also deflected by the small (similar to0.02%) southward lake surface slope. Accretion ice, lake water frozen to the bottom of the ice sheet, is preferentially imaged along flowlines emanating from topographic ridges. The coincidence of the accretion ice reflector with our flowlines both provides independent support for our new flow field, and suggests focused accretion along the western shoreline. Global positioning system (GPS) data provide additional independent support for our new flow field in the southern lake. The new flow field will be crucial for subsequent analyses of mass exchange between the ice sheet and the lake, identifying areas of melting above the lake and estimating residence times. (C) 2004 Elsevier B.V. All rights reserved.</t>
  </si>
  <si>
    <t>Univ Tokyo, Ocean Res Inst, Nakano Ku, Tokyo 1648639, Japan; Columbia Univ, Lamont Doherty Geol Observ, Palisades, NY 10964 USA; Univ British Columbia, Dept Earth &amp; Ocean Sci, Vancouver, BC V6T 1Z4, Canada</t>
  </si>
  <si>
    <t>University of Tokyo; Columbia University; University of British Columbia</t>
  </si>
  <si>
    <t>Rensselaer Polytech Inst, Dept Earth &amp; Environm Sci, 110 8th St, Troy, NY 12180 USA.</t>
  </si>
  <si>
    <t>tikkua@rpi.edu</t>
  </si>
  <si>
    <t>NOV 15</t>
  </si>
  <si>
    <t>10.1016/j.epsl.2004.09.021</t>
  </si>
  <si>
    <t>871IS</t>
  </si>
  <si>
    <t>WOS:000225124900007</t>
  </si>
  <si>
    <t>Paillard, D; Parrenin, F</t>
  </si>
  <si>
    <t>The Antarctic ice sheet and the triggering of deglaciations</t>
  </si>
  <si>
    <t>paleoclimatology; glacial cycles; Milankovitch theory; carbon cycle; climate dynamics</t>
  </si>
  <si>
    <t>LAST GLACIAL MAXIMUM; ATMOSPHERIC CO2; SEA-ICE; CLIMATE; OCEAN; TEMPERATURE; DELTA-O-18; TIMESCALE; HISTORY; RECORDS</t>
  </si>
  <si>
    <t>A new physical mechanism involving the Antarctic ice-sheet extent is able to link climatic and CO2 glacial-interglacial changes. It is furthermore able to explain many features of the glacial cycles, like the 100 kyr oscillations or the peculiarities of stage I I (about 400 kyr BP). Indeed, from recent results, the glacial ocean bottom waters were possibly much more saline and consequently, may have an unsuspected large density. This glacial deep stratification could account for a significant part of the glacial-interglacial CO2 difference. The formation of these waters around Antarctica involves brine rejection over the continental shelves and is directly linked to changes in sea ice formation and Antarctic ice-sheet extent. Using this new scenario, we formulate a conceptual model that reproduce the succession and the amplitude of glaciations over the last few million years. This new mechanism furthermore provides the clue to understanding the changes in the main climatic frequency from 23 to 41 ka about 3 Myr ago and from 41 to 100 ka about I Myr ago. The Antarctic ice-sheet influence on bottom water formation could provide the missing piece to complete the astronomical theory of Quaternary climates. (C) 2004 Elsevier B.V. All rights reserved.</t>
  </si>
  <si>
    <t>CNRS, CEA, IPSL, Lab Sci Climat &amp; Environm, F-91191 Gif Sur Yvette, France; LEGOS, F-31401 Toulouse 9, France</t>
  </si>
  <si>
    <t>CEA; Centre National de la Recherche Scientifique (CNRS); Universite Paris Saclay; Universite Paris Cite; Universite de Toulouse; Universite Toulouse III - Paul Sabatier; Centre National de la Recherche Scientifique (CNRS); Institut de Recherche pour le Developpement (IRD); Laboratoire d'Etudes en Geophysique et oceanographie spatiales</t>
  </si>
  <si>
    <t>Paillard, D (corresponding author), CNRS, CEA, IPSL, Lab Sci Climat &amp; Environm, F-91191 Gif Sur Yvette, France.</t>
  </si>
  <si>
    <t>paillar@lsce.saclay.cea.fr; Frederic.Parrenin@notos.cst.cnes.fr</t>
  </si>
  <si>
    <t>Parrenin, Frédéric/H-3054-2014; Paillard, Didier/G-4776-2012</t>
  </si>
  <si>
    <t>Parrenin, Frédéric/0000-0002-9489-3991; Paillard, Didier/0000-0002-9995-2794</t>
  </si>
  <si>
    <t>10.1016/j.epsl.2004.08.023</t>
  </si>
  <si>
    <t>WOS:000225124900008</t>
  </si>
  <si>
    <t>Gibb, SW; Hatton, AD</t>
  </si>
  <si>
    <t>The occurrence and distribution of trimethylamine-N-oxide in Antarctic coastal waters</t>
  </si>
  <si>
    <t>MARINE CHEMISTRY</t>
  </si>
  <si>
    <t>trimethylamine-N-oxide; nitrogen; dimethylsulphide; dimethylsulfoxide; methylamines</t>
  </si>
  <si>
    <t>BIOGENIC SULFUR-COMPOUNDS; TELEOST FISHES; NATURAL-WATERS; METHYLAMINES; DIMETHYLSULFOXIDE; SEAWATER; CHROMATOGRAPHY; AMMONIA; AMINES; DMSO</t>
  </si>
  <si>
    <t>Over recent decades there have been numerous reports of the occurrence of trimethylamine-N-oxide (TMAO) in marine organisms, including algae, zooplankton and fish, where it is proposed to function as an osmolyte and may be involved in a number of other physiological roles. While it may seem reasonable to assume that TMAO should also be present in seawater, to date its occurrence has not been reported. Here we report the first quantitative measurements of TMAO concentration and distribution in seawater. Results are also compared to the structurally and biochemically analogous sulphur compound, dimethylsulphoxide (DMSO) and its precursor dimethylsulphide (DMS). Studies were conducted in the coastal waters off the Antarctic Peninsula between January and February 1999. Concentrations of dissolved TMAO ranged from below the analytical detection limit (1.65 nmol dm(-3)) to 76.9 nmol dm(-3) in the upper water column (to 100 in), with a mean of 15.2 nmol dm(-3). These concentrations are comparable to those of DMSO, (mean 8.7 nmol dm(-3)) and DMS (mean 3.0 nmol dm(-3)), and are highly comparable to those of other nitrogen species, such as the methylamines (MAs). In vertical profiles, greatest concentrations of TMAO were observed in surface waters where they exceeded those of all other methylamine analytes. (C) 2004 Elsevier B.V. All rights reserved.</t>
  </si>
  <si>
    <t>Univ Highlands and Islands, N Highland Coll, Environm Res Inst, Caithness KW14 7JD, Scotland; SAMS, Dunstaffnage Marine Res Lab, Oban PA37 1QA, Argyll, Scotland</t>
  </si>
  <si>
    <t>UHI Millennium Institute</t>
  </si>
  <si>
    <t>Univ Highlands and Islands, N Highland Coll, Environm Res Inst, Castle St, Caithness KW14 7JD, Scotland.</t>
  </si>
  <si>
    <t>Stuart.Gibb@thurso.uhi.ac.uk</t>
  </si>
  <si>
    <t>Hatton, Angela D/D-6196-2013; Gibb, Stuart W/D-5802-2013</t>
  </si>
  <si>
    <t>Gibb, Stuart/0000-0003-3882-338X</t>
  </si>
  <si>
    <t>0304-4203</t>
  </si>
  <si>
    <t>1872-7581</t>
  </si>
  <si>
    <t>MAR CHEM</t>
  </si>
  <si>
    <t>Mar. Chem.</t>
  </si>
  <si>
    <t>10.1016/j.marchem.2004.04.005</t>
  </si>
  <si>
    <t>Chemistry, Multidisciplinary; Oceanography</t>
  </si>
  <si>
    <t>Chemistry; Oceanography</t>
  </si>
  <si>
    <t>876FV</t>
  </si>
  <si>
    <t>WOS:000225482800006</t>
  </si>
  <si>
    <t>Lear, CH; Rosenthal, Y; Coxall, HK; Wilson, PA</t>
  </si>
  <si>
    <t>Late Eocene to early Miocene ice sheet dynamics and the global carbon cycle</t>
  </si>
  <si>
    <t>Cenozoic paleoceanography; Antarctic ice sheet; silicate weathering Mg/Ca paleoceanography; sea level; Ocean Drilling Program; Site 1218</t>
  </si>
  <si>
    <t>SEA-SURFACE TEMPERATURES; FORAMINIFERAL CALCITE; BENTHIC FORAMINIFERA; CLIMATE; RATIOS; MG/CA; RECORDS; GLACIATION; EVOLUTION; ISOTOPES</t>
  </si>
  <si>
    <t>[1] Paired benthic foraminiferal trace metal and stable isotope records have been constructed from equatorial Pacific Ocean Drilling Program Site 1218. The records include the two largest abrupt (&lt; 1 Myr) increases in the Cenozoic benthic oxygen isotope record: Oi-1 in the earliest Oligocene ( similar to 34 Ma) and Mi-1 in the earliest Miocene ( similar to 23 Ma). The paired Mg/Ca and oxygen isotope records are used to calculate seawater delta O-18 (delta w). Calculated delta w suggests that a large Antarctic ice sheet formed during Oi-1 and subsequently fluctuated throughout the Oligocene on both short (&lt; 0.5 Myr) and long ( 2 - 3 Myr) timescales, between about 50 and 100% of its maximum earliest Oligocene size. The magnitudes of these fluctuations are consistent with estimates of sea level derived from sequence stratigraphy. The transient expansion of the Antarctic ice sheet at Mi-1 is marked in the benthic delta(18)O record by two positive excursions between 23.7 and 22.9 Ma, each with a duration of 200-300 kyr. Bottom water temperatures decreased by similar to2degreesC over the 150 kyr immediately prior to both rapid delta(18)O excursions. However, the onset of each of these phases of ice growth is synchronous, within the resolution of the records, with the onset of a 2 degreesC warming over similar to 150 kyr. We suggest that the warming during these glacial expansions reflect increased greenhouse forcing prompted by a sudden decrease in global chemical weathering rates as Antarctic basement silicate rocks became blanketed by an ice sheet. This represents a negative feedback process that might have operated during major abrupt growth phases of the Antarctic ice sheet.</t>
  </si>
  <si>
    <t>Cardiff Univ, Sch Earth Ocean &amp; Planetary Sci, Cardiff CF10 3YE, S Glam, Wales; Rutgers State Univ, Inst Marine &amp; Coastal Sci, New Brunswick, NJ 08901 USA; Rutgers State Univ, Dept Geol, New Brunswick, NJ 08901 USA; Southampton Oceanog Ctr, Sch Ocean &amp; Earth Sci, Southampton SO14 3ZH, Hants, England</t>
  </si>
  <si>
    <t>Cardiff University; Rutgers University System; Rutgers University New Brunswick; Rutgers University System; Rutgers University New Brunswick; University of Southampton; NERC National Oceanography Centre</t>
  </si>
  <si>
    <t>Cardiff Univ, Sch Earth Ocean &amp; Planetary Sci, POB 914, Cardiff CF10 3YE, S Glam, Wales.</t>
  </si>
  <si>
    <t>carrie@earth.cf.ac.uk</t>
  </si>
  <si>
    <t>Lear, Caroline H/D-2582-2009</t>
  </si>
  <si>
    <t>Wilson, Paul/0000-0001-6425-8906; Lear, Caroline/0000-0002-7533-4430; Coxall, Helen/0000-0002-2843-2898</t>
  </si>
  <si>
    <t>NOV 13</t>
  </si>
  <si>
    <t>PA4015</t>
  </si>
  <si>
    <t>10.1029/2004PA001039</t>
  </si>
  <si>
    <t>872EX</t>
  </si>
  <si>
    <t>WOS:000225191600001</t>
  </si>
  <si>
    <t>Bernhard, G; Booth, CR; Ehramjian, JC</t>
  </si>
  <si>
    <t>Version 2 data of the National Science Foundation's Ultraviolet Radiation Monitoring Network: South Pole</t>
  </si>
  <si>
    <t>ultraviolet radiation; UV; Antarctica; South Pole; uncertainty; total column ozone</t>
  </si>
  <si>
    <t>ANTARCTIC OZONE DEPLETION; SPECTRAL UV MEASUREMENTS; PLAINS ARM SITE; SOLAR-RADIATION; SURFACE ALBEDO; IRRADIANCE; CLOUD; WAVELENGTH; AEROSOL; MODELS</t>
  </si>
  <si>
    <t>[1] Spectral ultraviolet (UV) and visible irradiance has been measured at the South Pole between 1991 and 2003 by a SUV-100 spectroradiometer, which is part of the U. S. National Science Foundation's UV Monitoring Network. Here we present a new data edition, labeled Version 2.'' The new version was corrected for wavelength shift errors and deviations of the spectroradiometer from the ideal cosine response. A comprehensive uncertainty budget of the new data set was established. Below 400 nm the expanded standard uncertainty ( coverage factor 2) varies between 4.6 and 7.2%, depending on wavelength and sky condition. The uncertainty of biologically relevant UV irradiances is approximately 6%. Compared to the previously published data set, Version 2 UV data are higher by 5 - 14%, depending on wavelength, solar zenith angle (SZA), and year of observation. By comparing Version 2 data with results of a radiative transfer model, the good consistency and homogeneity of the new data set were confirmed. The data set is used to establish a UV climatology for the South Pole, focusing on the effects of aerosols, clouds, and total column ozone. Clouds are predominantly optically thin; 71% of all clouds have an optical depth between 0 and 1. The average attenuation of UV irradiance at 345 nm by clouds is less than 5% and no attenuations greater than 23% were observed. Attenuation by homogeneous clouds is generally larger in the visible than in the UV. The wavelength dependence of cloud attenuation is quantitatively explained with the wavelength-dependent radiance distribution on top of clouds and the incidence-angle dependence of cloud transmittance. Largest radiation levels occur in late November and early December when low stratospheric ozone amounts coincide with relatively small SZAs. Owing to the large effect of the ozone hole,'' short- and long-term variability of UV during the austral spring is very high. When the ozone hole disappears, DNA-damaging irradiance can decrease by more than a factor of two within 2 days. Typical summer UV index values range between 2 and 3.5 and vary by +/- 30% ( +/- 1sigma) between different years. Linear regression analyses did not indicate statistically significant UV trends owing to the large year-to-year variability and the fact that the network was established only after the first occurrence of the ozone hole. Current measurements therefore document variability on an elevated level.</t>
  </si>
  <si>
    <t>Biospher Inc, San Diego, CA 92110 USA</t>
  </si>
  <si>
    <t>Biospher Inc, 5340 Riley St, San Diego, CA 92110 USA.</t>
  </si>
  <si>
    <t>bernhard@biospherical.com; booth@biospherical.com; jime@biospherical.com</t>
  </si>
  <si>
    <t>Bernhard, Germar/AAZ-7169-2020; Bernhard, Germar H/B-4460-2018</t>
  </si>
  <si>
    <t>Bernhard, Germar/0000-0002-1264-0756;</t>
  </si>
  <si>
    <t>NOV 12</t>
  </si>
  <si>
    <t>D21</t>
  </si>
  <si>
    <t>D21207</t>
  </si>
  <si>
    <t>10.1029/2004JD004937</t>
  </si>
  <si>
    <t>872EM</t>
  </si>
  <si>
    <t>WOS:000225190500009</t>
  </si>
  <si>
    <t>Bostock, HC; Opdyke, BN; Gagan, MK; Fifield, LK</t>
  </si>
  <si>
    <t>Carbon isotope evidence for changes in Antarctic Intermediate Water circulation and ocean ventilation in the southwest Pacific during the last deglaciation</t>
  </si>
  <si>
    <t>AAIW; deglaciation; delta C-13</t>
  </si>
  <si>
    <t>EASTERN EQUATORIAL PACIFIC; SEA-SURFACE TEMPERATURES; VOSTOK ICE CORE; PLANKTONIC-FORAMINIFERA; SOUTHERN-OCEAN; STABLE-ISOTOPES; TASMAN FRONT; RADIOCARBON AGE; SARGASSO SEA; INDIAN-OCEAN</t>
  </si>
  <si>
    <t>[1] Deep-sea sediment core FR1/97 GC-12 is located 990 mbsl in the northern Tasman Sea, southwest Pacific, where Antarctic Intermediate Water (AAIW) presently impinges the continental slope of the southern Great Barrier Reef. Analysis of carbon (delta(13)C) and oxygen (delta(18)O) isotope ratios on a suite of planktonic and benthic foraminifera reveals rapid changes in surface and intermediate water circulation over the last 30 kyr. During the Last Glacial Maximum, there was a large delta(13)C offset (1.1parts per thousand) between the surface-dwelling planktonic foraminifera and benthic species living within the AAIW. In contrast, during the last deglaciation ( Termination 1), the delta(13)C(planktonic-benthic) offset reduced to 0.4parts per thousand prior to an intermediate offset (0.7parts per thousand) during the Holocene. We suggest that variations in the dominance and direction of AAIW circulation in the Tasman Sea, and increased oceanic ventilation, can account for the rapid change in the water column delta(13)C(planktonic-benthic) offset during the glacial-interglacial transition. Our results support the hypothesis that intermediate water plays an important role in propagating climatic changes from the polar regions to the tropics. In this case, climatic variations in the Southern Hemisphere may have led to the rapid ventilation of deep water and AAIW during Termination 1, which contributed to the postglacial rise in atmospheric CO2.</t>
  </si>
  <si>
    <t>Australian Natl Univ, Dept Earth &amp; Marine Sci, Canberra, ACT 0200, Australia; Australian Natl Univ, Res Sch Earth Sci, Canberra, ACT 0200, Australia; Australian Natl Univ, Res Sch Phys Sci &amp; Engn, Canberra, ACT 0200, Australia</t>
  </si>
  <si>
    <t>Australian National University; Australian National University; Australian National University</t>
  </si>
  <si>
    <t>helenb@ems.anu.edu.au</t>
  </si>
  <si>
    <t>Gagan, Michael K/L-5014-2018; Bostock, Helen/A-6834-2013</t>
  </si>
  <si>
    <t>Bostock, Helen/0000-0002-8903-8958; Fifield, Leslie/0000-0003-2866-4944</t>
  </si>
  <si>
    <t>NOV 10</t>
  </si>
  <si>
    <t>PA4013</t>
  </si>
  <si>
    <t>10.1029/2004PA001047</t>
  </si>
  <si>
    <t>872EW</t>
  </si>
  <si>
    <t>WOS:000225191500001</t>
  </si>
  <si>
    <t>Newman, PA; Kawa, SR; Nash, ER</t>
  </si>
  <si>
    <t>On the size of the Antarctic ozone hole</t>
  </si>
  <si>
    <t>CHLORINE; AEROSOL; CLIMATE; VORTEX</t>
  </si>
  <si>
    <t>Aprimary estimate of the severity of the Antarctic ozone hole is its size. The size is calculated from the area contained by total column ozone values less than 220 Dobson Units (DU) during September-October. The 220-DU value is used because it is lower than pre-1980 observed ozone values, and because it is in the strong ozone gradient region. We quantitatively show that the ozone hole size is primarily sensitive to effective stratospheric chlorine trends, and secondarily to the year-to-year variations in temperatures near the edge of the polar vortex. Temperatures are in turn sensitive to variations in tropospheric planetary wave forcing of the Southern Hemisphere stratosphere. Currently the average hole size reaches approximately 25 million km(2) each spring. Slow decreases of ozone depleting substances will only result in a decrease of about 1 million km(2) by 2015. This slow size decrease will be obscured by large dynamically forced year-to-year variations of 4 million km(2) (1sigma), and possibly delayed by greenhouse gas cooling of the Antarctic stratosphere.</t>
  </si>
  <si>
    <t>NASA, Goddard Space Flight Ctr, Greenbelt, MD 20771 USA; Sci Syst &amp; Applicat Inc, Lanham, MD USA</t>
  </si>
  <si>
    <t>NASA, Goddard Space Flight Ctr, Code 916, Greenbelt, MD 20771 USA.</t>
  </si>
  <si>
    <t>Paul.A.Newman@nasa.gov</t>
  </si>
  <si>
    <t>Kawa, Stephan R/E-9040-2012; Newman, Paul A./D-6208-2012</t>
  </si>
  <si>
    <t>Newman, Paul A./0000-0003-1139-2508</t>
  </si>
  <si>
    <t>NOV 9</t>
  </si>
  <si>
    <t>L21104</t>
  </si>
  <si>
    <t>10.1029/2004GL020596</t>
  </si>
  <si>
    <t>872EF</t>
  </si>
  <si>
    <t>WOS:000225189800003</t>
  </si>
  <si>
    <t>Meredith, MP; Woodworth, PL; Hughes, CW; Stepanov, V</t>
  </si>
  <si>
    <t>Changes in the ocean transport through Drake Passage during the 1980s and 1990s, forced by changes in the Southern Annular Mode</t>
  </si>
  <si>
    <t>ANTARCTIC CIRCUMPOLAR CURRENT; HEMISPHERE CLIMATE-CHANGE; EXTRATROPICAL CIRCULATION; SYNCHRONOUS VARIABILITY; SEA-ICE; ATMOSPHERE; TRENDS</t>
  </si>
  <si>
    <t>[ 1] We present the first direct evidence that interannual changes in ocean transport through Drake Passage are forced by variability in the Southern Annular Mode ( SAM). This evidence is derived from two decades ( 1980s and 1990s) of subsurface pressure measurements from the tide gauge at Faraday station ( western Antarctic Peninsula), combined with the output of an ocean general circulation model. In recent decades, the SAM has moved toward a higher-index state ( stronger circumpolar winds); this trend is not simply monotonic, but is the product of a long-term change in the seasonality of the SAM. Whilst we cannot address directly the effect of the long-term trend on circumpolar transport, bottom pressure data from Drake Passage during the 1990s demonstrate that ocean transport showed the same changes in seasonality as did the SAM. This offers a mechanism for atmospheric climate change to influence directly the large-scale ocean circulation.</t>
  </si>
  <si>
    <t>Proudman Oceanog Lab, Bidston Observ, Wirral CH43 7RA, Merseyside, England</t>
  </si>
  <si>
    <t>NERC National Oceanography Centre</t>
  </si>
  <si>
    <t>Proudman Oceanog Lab, Bidston Observ, Bidston Hill, Wirral CH43 7RA, Merseyside, England.</t>
  </si>
  <si>
    <t>mmm@pcmail.nerc-bas.ac.uk</t>
  </si>
  <si>
    <t>Hughes, Chris/GQP-7479-2022; Stepanov, Vladimir/P-8371-2019; Hughes, Chris W/A-3791-2010</t>
  </si>
  <si>
    <t>Stepanov, Vladimir/0000-0002-0560-9312; Hughes, Chris W/0000-0002-9355-0233; Meredith, Michael/0000-0002-7342-7756; Woodworth, Philip/0000-0002-6681-239X</t>
  </si>
  <si>
    <t>NOV 6</t>
  </si>
  <si>
    <t>L21305</t>
  </si>
  <si>
    <t>10.1029/2004GL021169</t>
  </si>
  <si>
    <t>870CF</t>
  </si>
  <si>
    <t>WOS:000225030900005</t>
  </si>
  <si>
    <t>Gordon, AL; Zambianchi, E; Orsi, A; Visbeck, M; Giulivi, CF; Whitworth, T; Spezie, G</t>
  </si>
  <si>
    <t>Energetic plumes over the western Ross Sea continental slope</t>
  </si>
  <si>
    <t>WATER; CIRCULATION; MODEL; OCEAN</t>
  </si>
  <si>
    <t>[ 1] Rapid descent of dense Drygalski Trough ( western Ross Sea, Antarctica) shelf water over the continental slope, within 100 to 250 m thick benthic plumes, is described. Speeds of up to 1.0 m/s are recorded flowing at an average angle of 35degrees to the isobaths, entraining ambient Lower Circumpolar Deep Water en route. This process is predominant in determining the concentration and placement of the shelf water injected into the deep sea as a precursor Antarctic Bottom Water. Nonetheless, a 4-hour duration pulse of undiluted shelf water was observed at depth ( 1407 m) directly north of the Drygalski Trough, moving at around 90 degrees to isobaths, and at a speed of 1.4 m/s. Thus the export of Ross Sea shelf water to the deep sea is accomplished within plumes descending at moderate angle to isobaths, punctuated by rapid downhill cascades.</t>
  </si>
  <si>
    <t>Columbia Univ, Lamont Doherty Earth Observ, Palisades, NY 10964 USA; Univ Parthenope, Ist Meteorol &amp; Oceanog, Via Acton 38, I-80133 Naples, Italy; Texas A&amp;M Univ, Dept Oceanog, College Stn, TX 77845 USA</t>
  </si>
  <si>
    <t>Columbia University; Parthenope University Naples; Texas A&amp;M University System; Texas A&amp;M University College Station</t>
  </si>
  <si>
    <t>Gordon, AL (corresponding author), Columbia Univ, Lamont Doherty Earth Observ, Palisades, NY 10964 USA.</t>
  </si>
  <si>
    <t>agordon@ldeo.columbia.edu</t>
  </si>
  <si>
    <t>Visbeck, Martin H/B-6541-2016; Visbeck, Martin/G-2461-2011; zambianchi, enrico/KGK-8209-2024; Gordon, Arnold L./H-1049-2011</t>
  </si>
  <si>
    <t>Visbeck, Martin H/0000-0002-0844-834X; Visbeck, Martin/0000-0002-0844-834X; zambianchi, enrico/0000-0001-5474-7466; Gordon, Arnold L./0000-0001-6480-6095</t>
  </si>
  <si>
    <t>NOV 4</t>
  </si>
  <si>
    <t>L21302</t>
  </si>
  <si>
    <t>10.1029/2004GL020785</t>
  </si>
  <si>
    <t>870CD</t>
  </si>
  <si>
    <t>Bronze, Green Accepted</t>
  </si>
  <si>
    <t>WOS:000225030700001</t>
  </si>
  <si>
    <t>Ohno, H; Lipenkov, VY; Hondoh, T</t>
  </si>
  <si>
    <t>Air bubble to clathrate hydrate transformation in polar ice sheets: A reconsideration based on the new data from Dome Fuji ice core</t>
  </si>
  <si>
    <t>ANTARCTIC ICE; CRYSTALS; GASES</t>
  </si>
  <si>
    <t>[ 1] Mapping the spatial distribution of air bubbles and clathrate hydrates in thick sections of Antarctic ice from Dome Fuji station reveals a considerable redistribution of the inclusions in terms of number and volume in the bubble-to-hydrate transition zone. Analysis of the data indicated that more than 10% of the hydrates nucleated outside the preceding bubbles and more than 30% of the bubbles completely expired due to the gas outflow toward the coexisting hydrates. These features of the gas-hydrate-ice nonequilibrium system are of major importance for modeling the global bubble-to-hydrate transformation in polar ice sheets and thus the results may help improve our ability to extract paleoclimatic information from air inclusions in ice cores.</t>
  </si>
  <si>
    <t>Hokkaido Univ, Inst Low Temp Sci, Sapporo, Hokkaido 0600819, Japan; Arctic &amp; Antarctic Res Inst, St Petersburg 199226, Russia</t>
  </si>
  <si>
    <t>Hokkaido University; Arctic &amp; Antarctic Research Institute</t>
  </si>
  <si>
    <t>Hokkaido Univ, Inst Low Temp Sci, N19,W8, Sapporo, Hokkaido 0600819, Japan.</t>
  </si>
  <si>
    <t>samurai@pop.lowtem.hokudai.ac.jp</t>
  </si>
  <si>
    <t>Lipenkov, Vladimir/Q-8262-2016; HONDOH, Takeo/E-7551-2011</t>
  </si>
  <si>
    <t>Lipenkov, Vladimir/0000-0003-4221-5440; HONDOH, Takeo/0000-0003-4129-022X</t>
  </si>
  <si>
    <t>L21401</t>
  </si>
  <si>
    <t>10.1029/2004GL021151</t>
  </si>
  <si>
    <t>WOS:000225030700004</t>
  </si>
  <si>
    <t>Marsland, SJ; Bindoff, NL; Williams, GD; Budd, WF</t>
  </si>
  <si>
    <t>Modeling water mass formation in the Mertz Glacier Polynya and Adelie Depression, East Antarctica</t>
  </si>
  <si>
    <t>Southern Ocean; polynyas; modeling</t>
  </si>
  <si>
    <t>SEA-ICE; BOTTOM WATER; WEDDELL SEA; HEAT-FLUX; INTERANNUAL VARIABILITY; ABYSSAL CIRCULATION; WORLD OCEAN; SLOPE; LAND; ORIGIN</t>
  </si>
  <si>
    <t>[ 1] High rates of sea ice growth and brine rejection in the Mertz Glacier Polynya drive the production of dense continental shelf waters in the Adelie Depression. We consider the rate of outflow of waters having sufficient density to sink into the neighboring abyssal ocean and form Adelie Land Bottom Water (ALBW). Along with Weddell and Ross Sea Bottom Waters, the ALBW is an important source of Antarctic Bottom Water. The relevant processes are modeled using a variant of the Max Planck Institute Ocean Model ( MPIOM) under daily NCEP-NCAR reanalysis forcing for the period 1991-2000. The orthogonal curvilinear horizontal grid allows for the construction of a global domain with high resolution in our region of interest. The modeled Mertz Glacier Polynya is realistic in location and extent, exhibiting low ice thickness (&lt;0.4 m) and low ice fraction (&lt;50%). The net surface ocean to atmosphere heat flux exceeds 200 W m(2) and is dominated by sensible heat exchange. In wintertime ( May through September inclusive), 7.5m of sea ice forms over the Adelie Depression at a rate of 4.9 cm d(-1): this results in annual average volumetric production of 99 km(3) of sea ice. The associated brine release drives dense shelf water formation. The off-shelf flow of dense water exhibits strong interannual variability in response to variability in both atmospheric forcing and ocean preconditioning. Averaged over the period 1991-2000 the off shelf flow of dense water is 0.15 Sv: for a period of strong outflow ( 1993-1997), this increases to 0.24 Sv. Most of the outflow occurs during July through October, at a rate of 0.40 ( 0.63) Sv over the period 1991-2000 ( 1993-1997). The peak mean monthly outflow can exceed 1 Sv.</t>
  </si>
  <si>
    <t>Max Planck Inst Meteorol, Hamburg, Germany; Antarctic Climate &amp; Ecosyst Cooperat Res Ctr, Hobart, Tas 7001, Australia; CSIRO, Div Marine Res, Hobart, Tas, Australia; Univ Tasmania, Inst Antarctic &amp; So Ocean Studies, Hobart, Tas 7001, Australia</t>
  </si>
  <si>
    <t>Max Planck Society; Antarctic Climate &amp; Ecosystems Cooperative Research Centre (ACE CRC); Commonwealth Scientific &amp; Industrial Research Organisation (CSIRO); University of Tasmania</t>
  </si>
  <si>
    <t>CSIRO Marine Res, GPO Box 1538, Hobart, Tas 7001, Australia.</t>
  </si>
  <si>
    <t>simon.marsland@csiro.au; n.bindoff@utas.edu.au; gdwillia@postoffice.antcrc.utas.edu.au; w.f.budd@utas.edu.au</t>
  </si>
  <si>
    <t>Bindoff, Nathaniel Lee/C-8050-2011; Marsland, Simon J/A-1453-2012; Bindoff, Nathaniel Lee/IVV-0333-2023</t>
  </si>
  <si>
    <t>Bindoff, Nathaniel Lee/0000-0001-5662-9519; Marsland, Simon J/0000-0002-5664-5276; Bindoff, Nathaniel Lee/0000-0001-5662-9519</t>
  </si>
  <si>
    <t>C11003</t>
  </si>
  <si>
    <t>10.1029/2004JC002441</t>
  </si>
  <si>
    <t>870CP</t>
  </si>
  <si>
    <t>WOS:000225031900002</t>
  </si>
  <si>
    <t>Hanan, BB; Blichert-Toft, J; Pyle, DG; Christie, DM</t>
  </si>
  <si>
    <t>Contrasting origins of the upper mantle revealed by hafnium and lead isotopes from the Southeast Indian Ridge</t>
  </si>
  <si>
    <t>LOWER CRUSTAL XENOLITHS; TRACE-ELEMENT; LU-HF; GEOCHEMISTRY; GEOCHRONOLOGY; CONSTRAINTS; EVOLUTION; BOUNDARY; BASALTS; LAVAS</t>
  </si>
  <si>
    <t>The origin of the isotopic signature of Indian mid-ocean ridge basalts has remained enigmatic, because the geochemical composition of these basalts is consistent either with pollution from recycled, ancient altered oceanic crust and sediments, or with ancient continental crust or lithosphere. The radiogenic isotopic signature may therefore be the result of contamination of the upper mantle by plumes containing recycled altered ancient oceanic crust and sediments(1), detachment and dispersal of continental material into the shallow mantle during rifting and breakup of Gondwana(2), or contamination of the upper mantle by ancient subduction processes(3,4). The identification of a process operating on a scale large enough to affect major portions of the Indian mid-ocean ridge basalt source region has been a longstanding problem. Here we present hafnium and lead isotope data from across the Indian - Pacific mantle boundary at the Australian - Antarctic discordance region of the Southeast Indian Ridge, which demonstrate that the Pacific and Indian upper mantle basalt source domains were each affected by different mechanisms. We infer that the Indian upper-mantle isotope signature in this region is affected mainly by lower continental crust entrained during Gondwana rifting, whereas the isotope signature of the Pacific upper mantle is influenced predominantly by ocean floor subduction-related processes.</t>
  </si>
  <si>
    <t>San Diego State Univ, Dept Geol Sci, San Diego, CA 92182 USA; Ecole Normale Super Lyon, Lab Sci Terre, CNRS, UMR 5570, F-69364 Lyon 7, France; Univ Hawaii, Sch Ocean &amp; Earth Sci Technol, Honolulu, HI 96822 USA; Oregon State Univ, Coll Ocean &amp; Atmospher Sci, Corvallis, OR 97331 USA</t>
  </si>
  <si>
    <t>California State University System; San Diego State University; Centre National de la Recherche Scientifique (CNRS); Ecole Normale Superieure de Lyon (ENS de LYON); University of Hawaii System; Oregon State University</t>
  </si>
  <si>
    <t>San Diego State Univ, Dept Geol Sci, 5500 Campanile Dr, San Diego, CA 92182 USA.</t>
  </si>
  <si>
    <t>Barry.Hanan@sdsu.edu</t>
  </si>
  <si>
    <t>; Blichert-Toft, Janne/C-8280-2012</t>
  </si>
  <si>
    <t>Hanan, Barry/0000-0002-8240-2200; Blichert-Toft, Janne/0000-0002-4932-4079</t>
  </si>
  <si>
    <t>10.1038/nature03026</t>
  </si>
  <si>
    <t>867PQ</t>
  </si>
  <si>
    <t>WOS:000224854900045</t>
  </si>
  <si>
    <t>Atkinson, A; Siegel, V; Pakhomov, E; Rothery, P</t>
  </si>
  <si>
    <t>Long-term decline in krill stock and increase in salps within the Southern Ocean</t>
  </si>
  <si>
    <t>SEA-ICE EXTENT; ANTARCTIC KRILL; EUPHAUSIA-SUPERBA; ABUNDANCE; ECOSYSTEM; CARBON</t>
  </si>
  <si>
    <t>Antarctic krill ( Euphausia superba) and salps ( mainly Salpa thompsoni) are major grazers in the Southern Ocean(1-4), and krill support commercial fisheries(5). Their density distributions(1,3,4,6) have been described in the period 1926 - 51, while recent localized studies(7-10) suggest short-term changes. To examine spatial and temporal changes over larger scales, we have combined all available scientific net sampling data from 1926 to 2003. This database shows that the productive southwest Atlantic sector contains &gt; 50% of Southern Ocean krill stocks, but here their density has declined since the 1970s. Spatially, within their habitat, summer krill density correlates positively with chlorophyll concentrations. Temporally, within the southwest Atlantic, summer krill densities correlate positively with sea-ice extent the previous winter. Summer food and the extent of winter sea ice are thus key factors in the high krill densities observed in the southwest Atlantic Ocean. Krill need the summer phytoplankton blooms of this sector, where winters of extensive sea ice mean plentiful winter food from ice algae, promoting larval recruitment(7-11) and replenishing the stock. Salps, by contrast, occupy the extensive lower-productivity regions of the Southern Ocean and tolerate warmer water than krill(2-4,12). As krill densities decreased last century, salps appear to have increased in the southern part of their range. These changes have had profound effects within the Southern Ocean food web(10,13).</t>
  </si>
  <si>
    <t>British Antarctic Survey, NERC, Cambridge CB3 OET, England; Sea Fisheries Res Inst, D-22767 Hamburg, Germany; Univ British Columbia, Dept Earth &amp; Ocean Sci, Vancouver, BC V6T 1Z4, Canada; Univ Ft Hare, Fac Sci &amp; Technol, Dept Zool, ZA-5700 Alice, South Africa; NERC, Ctr Ecol &amp; Hydrol, Huntingdon PE28 2LS, England</t>
  </si>
  <si>
    <t>UK Research &amp; Innovation (UKRI); Natural Environment Research Council (NERC); NERC British Antarctic Survey; University of British Columbia; University of Fort Hare; UK Research &amp; Innovation (UKRI); Natural Environment Research Council (NERC); UK Centre for Ecology &amp; Hydrology (UKCEH)</t>
  </si>
  <si>
    <t>British Antarctic Survey, NERC, High Cross,Madingley Rd, Cambridge CB3 OET, England.</t>
  </si>
  <si>
    <t>aat@bas.ac.uk</t>
  </si>
  <si>
    <t>Atkinson, Angus/HOH-3417-2023</t>
  </si>
  <si>
    <t>10.1038/nature02996</t>
  </si>
  <si>
    <t>WOS:000224854900048</t>
  </si>
  <si>
    <t>Mayle, FE; Beerling, DJ</t>
  </si>
  <si>
    <t>Late Quaternary changes in Amazonian ecosystems and their implications for global carbon cycling</t>
  </si>
  <si>
    <t>31st International Geological Congress</t>
  </si>
  <si>
    <t>AUG 16-18, 2000</t>
  </si>
  <si>
    <t>RIO DE JANEIRO, BRAZIL</t>
  </si>
  <si>
    <t>amazon; Late Quaternary and Holocene; carbon cycle; vegetation-climate model; palaeoecology; carbon dioxide; methane</t>
  </si>
  <si>
    <t>LAST GLACIAL MAXIMUM; ATMOSPHERIC METHANE CONCENTRATION; SPACE-TIME CLIMATE; POLLEN RECORD; PRIMARY PRODUCTIVITY; LLANOS ORIENTALES; LOWLAND AMAZONIA; ICE-CORE; VEGETATION; CO2</t>
  </si>
  <si>
    <t>The current role of Amazonia in the terrestrial carbon budget is the focus of intensive scientific interest, in large part due to its potential to accelerate global warming. However, its role in mediating CO, changes over millennial time-scales since the last C Glacial maximum (LGM) has Generally been overlooked and is the subject of speculation. Recent advances in our understanding of the Late Quaternary history of Amazonian ecosystems offers an opportunity to make more informed inferences about Late Quaternary changes in the magnitude of Amazon carbon storage than has hitherto been possible. Therefore, in this paper, we reconstruct changes in the magnitude of Amazon carbon storage over the last 21,000 years (since the LGM) by reference to recently published palaeohydrological and palaeoecological data and compare these data with results from simulations using a process-based terrestrial ecosystem model for the Mid-Holocene and the LGM. Building on these results further, we interpret changes in tropical forest biomass in the context of Late Quaternary polar ice-core records of atmospheric methane and carbon dioxide concentrations. Palaeo-data and model simulations show that Amazonia was predominantly forested at the LGM, although there is evidence for savanna expansion near the margins of the Basin and southern Amazonia may have been covered by deciduous/serni-deciduous dry forests rather than evergreen rain forests. We estimate Amazon C storage at the LGM to be only 135 Gt C (50% smaller than today), but find that its proportion of the entire terrestrial carbon store was almost twice that of today. The model shows that between the LGM and the Mid-Holocene there is a significant increase in evergreen broad-leaf forests at the expense of deciduous forests and a 67% increase in total Amazon C storage, attributable to rising temperatures and atmospheric CO, levels. Although our results indicate that the Amazon Basin was dominated by rain forests throughout the Holocene, rain forest cover expanded in the Late Holocene (at the expense of savannas) and total Amazon carbon storage is simulated to have risen by 22% between the Mid-Holocene (225 Gt C) and the present day (Pre-Industrial) (225 Gt C). Comparison of these Amazon carbon fluxes with palaeo-data from other parts of the world suggests that, contrary to previous hypotheses., the terrestrial biosphere acted as a net carbon sink throughout the Holocene, and that the observed CO, rise from 260 to 285 ppmv between 8 and 1 ka BP (revealed by the Antarctic Taylor Dome ice-core record) may have been driven by release of carbon from the oceans rather than land. (C) 2004 Elsevier B.V. All rights reserved.</t>
  </si>
  <si>
    <t>Univ Leicester, Dept Geog, Leicester LE1 7RH, Leics, England; Univ Sheffield, Dept Anim &amp; Plant Sci, Sheffield S10 2TN, S Yorkshire, England</t>
  </si>
  <si>
    <t>University of Leicester; University of Sheffield</t>
  </si>
  <si>
    <t>Univ Edinburgh, Inst Geog, Sch Geosci, Drummond St, Edinburgh EH8 9XP, Midlothian, Scotland.</t>
  </si>
  <si>
    <t>fmayle@staffmail.ed.ac.uk; D.J.Beerling@Sheffield.ac.uk</t>
  </si>
  <si>
    <t>Beerling, David/C-2840-2009</t>
  </si>
  <si>
    <t>Beerling, David/0000-0003-1869-4314</t>
  </si>
  <si>
    <t>1-2</t>
  </si>
  <si>
    <t>10.1016/j.palaeo.2004.06.016</t>
  </si>
  <si>
    <t>868PJ</t>
  </si>
  <si>
    <t>WOS:000224925200003</t>
  </si>
  <si>
    <t>Smith, AJ; Meredith, NP; O'Brien, TP</t>
  </si>
  <si>
    <t>Differences in ground-observed chorus in geomagnetic storms with and without enhanced relativistic electron fluxes</t>
  </si>
  <si>
    <t>chorus; geomagnetic storms; relativistic electron flux; electron acceleration; electron precipitation; radiation belts</t>
  </si>
  <si>
    <t>OUTER RADIATION BELT; WHISTLER-MODE CHORUS; INNER MAGNETOSPHERE; MAGNETIC STORMS; STOCHASTIC ACCELERATION; GEOSYNCHRONOUS ORBIT; RESONANT DIFFUSION; ZONE ELECTRONS; OCTOBER 9; ULF</t>
  </si>
  <si>
    <t>[ 1] It has been suggested that whistler mode chorus waves play a role in the acceleration and loss of radiation belt electrons during geomagnetic storms. In a previous statistical study of chorus received at Halley station, Antarctica (76degreesS 27degreesW, L = 4.3), during storms of the solar cycle 1992-2002, we found that on average, chorus intensities were significantly enhanced in the storm recovery phase. In this paper we extend that study to provide stronger evidence of the link between chorus and electron acceleration. We selected a set of 244 storms in 1992-2002 having a minimum D-st less than -50 nT, for which average 1.8-3.5 MeV electron fluxes 2-3 days after the storm were available from the LANL satellites. This set was classified into two subsets according to whether the flux was less than or greater than an arbitrary threshold of 0.5 electrons cm(-2) s(-1) sr(-1) keV(-1), near to the median value. A superposed epoch analysis of the whole set, using the times of minimum Dst as the set of epochs, reproduced the results of the earlier study, but when the two subsets were analyzed separately, it was found that for the lower-frequency channels, 0.5-1.0 kHz, characteristic of the main chorus band, the average intensities of chorus observed were larger for storms when the poststorm flux was high. The long-enduring ( several days) poststorm depression of wave power at frequencies above the chorus band, found in the previous study and attributed to increased precipitation from the radiation belts, was again noted. The depression was greater for the set of storms characterized by high poststorm fluxes, which strengthens this interpretation. It was accompanied by longer-lasting geomagnetic and substorm activity after the storm, as indicated by the K-p and AE indices, consistent with recent suggestions that relativistic electron acceleration is more likely to occur in storms with substantial substorm activity in the recovery phase.</t>
  </si>
  <si>
    <t>British Antarctic Survey, Cambridge CB3 0ET, England; UCL, Mullard Space Sci Lab, Dorking RH5 6NT, Surrey, England; Aerosp Corp, Dept Space Sci, El Segundo, CA 90009 USA</t>
  </si>
  <si>
    <t>UK Research &amp; Innovation (UKRI); Natural Environment Research Council (NERC); NERC British Antarctic Survey; University of London; University College London; Aerospace Corporation - USA</t>
  </si>
  <si>
    <t>British Antarctic Survey, High Cross,Madingley Rd, Cambridge CB3 0ET, England.</t>
  </si>
  <si>
    <t>a.j.smith@bas.ac.uk; npm@mssl.ucl.ac.uk; paul.obrien@aero.org</t>
  </si>
  <si>
    <t>Meredith, Nigel P/C-5806-2018</t>
  </si>
  <si>
    <t>Meredith, Nigel/0000-0001-5032-3463</t>
  </si>
  <si>
    <t>NOV 3</t>
  </si>
  <si>
    <t>A11</t>
  </si>
  <si>
    <t>A11204</t>
  </si>
  <si>
    <t>10.1029/2004JA010491</t>
  </si>
  <si>
    <t>870CX</t>
  </si>
  <si>
    <t>WOS:000225032700001</t>
  </si>
  <si>
    <t>Davidson, AT; Thomson, PG; Westwood, K; van den Enden, R</t>
  </si>
  <si>
    <t>Estimation of bacterioplankton activity in Tasmanian coastal waters and between Tasmania and Antarctica using stains</t>
  </si>
  <si>
    <t>Antarctic; marine; bacteria; activity</t>
  </si>
  <si>
    <t>FLOW-CYTOMETRIC ANALYSIS; MARINE BACTERIOPLANKTON; LARGE FRACTION; BACTERIAL-ACTIVITY; GROWTH EFFICIENCY; INACTIVE BACTERIA; PROPIDIUM IODIDE; ORGANIC-MATTER; NET PRODUCTION; VIABILITY</t>
  </si>
  <si>
    <t>Various stains have recently become available that detect bacteria with compromised cell membranes and high esterase or respiratory activity. However, the validity of these stains for determining concentrations of live, dead and active marine bacteria is the subject of debate. We used BacLight(TM) (Molecular Probes) to stain bacteria with intact membranes green, due to the fluorescence of SYTO(R)9, while 'leaky' bacteria that were permeable to propidium iodide (PI) stained red. Bacteria with high metabolic activity were stained using 6-carboxy fluorescein diacetate (6CFDA) or 5-cyano-2,3-ditolyl tetrazolium chloride (CTC). Total bacteria concentration was determined using 4', 6 diamidino-2-phenylindole (DAPI) and BacLight(TM) (SYTO(R)9 + PI-stained bacteria). Comparison of stains in Tasmanian coastal waters showed that total concentrations of bacteria obtained using DAPI were not significantly different from those using BacLight(TM) at the concentrations used in our field study. Lower concentrations of BacLight(TM) reduced the concentration of PI-stained bacteria but not that of those stained by SYTO(R)9. Concentrations of metabolically active bacteria obtained using CTC and 6CFDA were equivalent to those of viable, culturable bacteria obtained using most probable number. Bacterioplankton activity in the Southern Ocean between Tasmania and East Antarctica during austral winter 1999 and summer 2001 was investigated using these stains. SYTO(R)9-stained cells commonly comprised &lt;30% of total bacteria, while the remainder stained with PI. CTC- or 6CFDA-stained bacteria comprised around half of the SYTO(R)9-stained bacterial concentration. Significant positive correlation was observed between concentrations of total bacteria, seawater temperature (mainly due to the correlation between temperature and concentrations of PI-stained bacteria) and in situ chlorophyll fluorescence (mainly due to the correlation between in situ chlorophyll fluorescence and concentrations of highly active bacteria). Thus, bacterioplankton in the Southern Ocean are not a homogeneous community of active cells. As bacterial metabolism determines the extent to which bacteria are involved in respiration, remineralisation and the microbial loop, our findings are of major significance for understanding pelagic carbon flow and nutrient cycling in the Southern Ocean.</t>
  </si>
  <si>
    <t>Dept Environm &amp; Heritage, Australian Antarctic Div, Kingston, Tas 7050, Australia; Antarct Climate &amp; Ecosyst Cooperat Res Ctr, Kingston, Tas 7050, Australia</t>
  </si>
  <si>
    <t>Dept Environm &amp; Heritage, Australian Antarctic Div, Channel Highway, Kingston, Tas 7050, Australia.</t>
  </si>
  <si>
    <t>andrew.davidson@aad.gov.au</t>
  </si>
  <si>
    <t>Westwood, Karen/0000-0003-1060-7140</t>
  </si>
  <si>
    <t>NOV 2</t>
  </si>
  <si>
    <t>10.3354/ame037033</t>
  </si>
  <si>
    <t>874FO</t>
  </si>
  <si>
    <t>WOS:000225336500004</t>
  </si>
  <si>
    <t>Woodwell, GM</t>
  </si>
  <si>
    <t>Mountains: Top down</t>
  </si>
  <si>
    <t>AMBIO</t>
  </si>
  <si>
    <t>Mountainous regions offer not only essential habitat and resources, including water, to the earth's more than 6 billion inhabitants, but also insights into how the global human habitat works, how it is being changed at the moment as global climates are disrupted, and how the disruption may lead to global biotic and economic impoverishment. At least 600 million of the earth's more than 6 billion humans dwell in mountainous regions. Such regions feed water into all the major rivers of the world whose valleys support most of the rest of us. At least half of the valley dwellers receive part or all of their water from montane sources, many from the melt water of glaciers, others from the annual snow melt. Glaciers are retreating globally as the earth warms as a result of human-caused changes in the composition of the atmosphere. Many are disappearing, a change that threatens municipal water supplies virtually globally. The warming is greatest in the higher latitudes where the largest glaciers such as those of Greenland and the Antarctic Continent have become vulnerable. The melting of ice in the northern hemisphere raises serious concerns about the continued flow of the Gulf Stream and the possibility of massive climatic changes in Scandinavia and northern Europe. Mountains are also biotic islands in the sea life, rich in endemism at the ecotype level. The systematic warming of the earth changes the environment out from under these genetically specialized strains (ecotypes) which are then maladapted and vulnerable to diseases of all types. The process is systematic impoverishment in the pattern conspicuous on mountain slopes with increasing exposure to climatic extremes. It is seen now in the increased mortality and morbidity of plants as climatic changes accumulate. The seriousness of the global climatic disruption is especially clear in any consideration of mountains. It can and must be addressed constructively despite the adamancy of the current US administration.</t>
  </si>
  <si>
    <t>Woods Hole Res Ctr, Woods Hole, MA 02543 USA</t>
  </si>
  <si>
    <t>Woodwell Climate Research Center</t>
  </si>
  <si>
    <t>Woodwell, GM (corresponding author), Woods Hole Res Ctr, POB 296, Woods Hole, MA 02543 USA.</t>
  </si>
  <si>
    <t>gmwoodwell@whrc.org</t>
  </si>
  <si>
    <t>ROYAL SWEDISH ACAD SCIENCES</t>
  </si>
  <si>
    <t>STOCKHOLM</t>
  </si>
  <si>
    <t>PUBL DEPT BOX 50005, S-104 05 STOCKHOLM, SWEDEN</t>
  </si>
  <si>
    <t>0044-7447</t>
  </si>
  <si>
    <t>Ambio</t>
  </si>
  <si>
    <t>NOV</t>
  </si>
  <si>
    <t>Engineering, Environmental; Environmental Sciences</t>
  </si>
  <si>
    <t>Engineering; Environmental Sciences &amp; Ecology</t>
  </si>
  <si>
    <t>870LN</t>
  </si>
  <si>
    <t>WOS:000225058700007</t>
  </si>
  <si>
    <t>Rivera, AS; Casassa, G</t>
  </si>
  <si>
    <t>Ice elevation, areal, and frontal changes of glaciers from National Park Torres del Paine, Southern Patagonk Icefield</t>
  </si>
  <si>
    <t>ARCTIC ANTARCTIC AND ALPINE RESEARCH</t>
  </si>
  <si>
    <t>SEA-LEVEL RISE; CALVING GLACIERS; COLUMBIA GLACIER; AMERICA; UPSALA; FLUCTUATIONS; INVENTORY; THICKNESS; HOLOCENE; RETREAT</t>
  </si>
  <si>
    <t>Ice elevation changes since 1975 and ice areal changes since 1945 of glaciers in the southeastern part of the Southern Patagonia Icefield (SPI) are presented. Comparison of digital elevation models, GPS, and optical survey data revealed high thinning rates for all the ablation areas of the glaciers, with average values between 1.4 and 3.4 m a(-1) and maximum ice thinning of 7.6 In a(-1). Ice elevation changes for the glacier accumulation areas were smaller than the estimated errors, and no significant trends could be detected. All the glaciers are retreating and shrinking considerably, with a total areal loss of 62.2 km(2), which represents 8% of the total ice area of 1945. This trend is in agreement with other similar measurements carried out during recent decades for several glaciers of the SPI. The high thinning rates for the ablation areas of the SPI have been primarily interpreted as a result of the increase in temperature observed in the region, however, this wanning trend is not large enough to account for all the ice thinning, indicating that dynamic factors could be important, especially in glaciers which have been thinning dramatically, allowing frontal calving fronts to reach nearly floating conditions. More measurements are needed to test and validate dynamic hypotheses related to glacier behavior in Patagonia.</t>
  </si>
  <si>
    <t>Ctr Estudios Cient, Valdivia, Chile; Univ Chile, Dept Geog, Santiago, Chile</t>
  </si>
  <si>
    <t>Universidad de Chile</t>
  </si>
  <si>
    <t>Rivera, AS (corresponding author), Ctr Estudios Cient, Prat 514, Valdivia, Chile.</t>
  </si>
  <si>
    <t>arivera@cecs.cl</t>
  </si>
  <si>
    <t>Casassa, Gino/AAX-6142-2020</t>
  </si>
  <si>
    <t>Rivera, Andres/0000-0002-2779-4192</t>
  </si>
  <si>
    <t>INST ARCTIC ALPINE RES</t>
  </si>
  <si>
    <t>BOULDER</t>
  </si>
  <si>
    <t>UNIV COLORADO, BOULDER, CO 80309 USA</t>
  </si>
  <si>
    <t>1523-0430</t>
  </si>
  <si>
    <t>ARCT ANTARCT ALP RES</t>
  </si>
  <si>
    <t>Arct. Antarct. Alp. Res.</t>
  </si>
  <si>
    <t>10.1657/1523-0430(2004)036[0379:IEAAFC]2.0.CO;2</t>
  </si>
  <si>
    <t>Environmental Sciences; Geography, Physical</t>
  </si>
  <si>
    <t>907GB</t>
  </si>
  <si>
    <t>WOS:000227702800001</t>
  </si>
  <si>
    <t>Marchand, FL; Nijs, I; Heuer, M; Mertens, S; Kockelbergh, F; Pontailler, JY; Impens, I; Beyens, L</t>
  </si>
  <si>
    <t>Climate warming postpones senescence in High Arctic tundra</t>
  </si>
  <si>
    <t>VEGETATION INDEX; PLANTS; TEMPERATURE; RESPONSES; GROWTH</t>
  </si>
  <si>
    <t>Lengthening of the growing season at high latitudes, observed by satellites with the Normalized Difference Vegetation Index (NDVI), has been ascribed to climate warming. To test this assumption, and to verify whether changes in vegetation greenness are quantitative or qualitative, we experimentally warmed patches of High Arctic tundra with infrared heating in Northeast Greenland. By analyzing digital images of the vegetation, changes in cover were distinguished from changes in senescence. During the season, experimental warming significantly increased green cover, for example, at the time of peak cover, the total green cover was enhanced from 59.1 to 67.3%. The dominant wavelength (hue) reflected by our tundra plots shifted from yellow-green to yellow. Experimental warming with 2.5 degrees C delayed this hue-shift by 15 d. The results demonstrate that higher summer temperatures do not only promote plant growth at these latitudes but also retard and/or postpone the senescence process, contrary to indications from previous research that late-season phenology in the High Arctic is governed by photoperiod.</t>
  </si>
  <si>
    <t>Univ Antwerp, Dept Biol, Res Grp Plant &amp; Vegetat Ecol, B-2610 Antwerp, Belgium; CNRS, URA 2154, Lab Plant Ecophysiol, F-91405 Orsay, France; Univ Antwerp, Dept Biol, Res Grp Polar Ecol Limnol &amp; Paleobiol, B-2020 Antwerp, Belgium</t>
  </si>
  <si>
    <t>University of Antwerp; Centre National de la Recherche Scientifique (CNRS); University of Antwerp</t>
  </si>
  <si>
    <t>Univ Antwerp, Dept Biol, Res Grp Plant &amp; Vegetat Ecol, Univ Pl 1, B-2610 Antwerp, Belgium.</t>
  </si>
  <si>
    <t>fleur.marchand@ua.ac.be</t>
  </si>
  <si>
    <t>Nijs, Ivan/0000-0003-3111-680X</t>
  </si>
  <si>
    <t>1938-4246</t>
  </si>
  <si>
    <t>10.1657/1523-0430(2004)036[0390:CWPSIH]2.0.CO;2</t>
  </si>
  <si>
    <t>Bronze, Green Submitted</t>
  </si>
  <si>
    <t>WOS:000227702800002</t>
  </si>
  <si>
    <t>Bekku, YS; Nakatsubo, T; Kume, A; Koizumi, H</t>
  </si>
  <si>
    <t>Soil microbial biomass, respiration rate, and temperature dependence on a successional glacier foreland in Ny-Alesund, Svalbard</t>
  </si>
  <si>
    <t>ORGANIC-MATTER; CARBON-DIOXIDE; MINERALIZATION; FOREST; FLUX</t>
  </si>
  <si>
    <t>We examined soil microbial activities, i.e., biomass, respiration rate, and temperature dependence of the respiration on a glacier foreland in Ny-Alesund, Svalbard, Norway. We collected soil samples from 4 study sites that were set up along a primary succession (Site 1, the youngest, to Site 4, the oldest). Microbial biomass measured with the SIR method increased with successional age (55 to 724 mu g C-biomass g(-1) soil d.w. from Site 1 to Site 4). The microbial respiration rate of the soil was measured in a laboratory with an open-flow infrared gas-analyzer system, changing the temperature from 2 degrees to 20 degrees C at 3-4 degrees intervals. The microbial respiration rate increased exponentially with the temperature at all sites. The temperature dependence (Q(10)) of the microbial respiration rate ranged from 2.2 to 4.1. The microbial respiration rates at a given temperature increased with succession as a step change (0.48, 0.43, 1.26, and 1.29 mu g C g(-1) soil h(-1) at 8 degrees C from Site 1 to Site 4, respectively). However, the substrate-specific respiration rate (respiration rate per gram soil carbon) decreased with successional a e (0 034 to 0 006 C m(-1) C-soil h(-1) from Site 1 to Site 4). A comparison of these respiratory properties with other ecosystems suggested that soil microorganisms in arctic soils have a high potential for decomposition when compared to those of other temperate ecosystems.</t>
  </si>
  <si>
    <t>Natl Inst Polar Res, Dept Biol, Itabashi Ku, Tokyo 1738515, Japan; Hiroshima Univ, Fac Integrated Arts &amp; Sci, Dept Environm Studies, Higashihiroshima 7390046, Japan; Kyushu Univ, Fac Agr, Dept Forest &amp; Forest Prod Sci, Fukuoka 8112415, Japan; Gifu Univ, Inst Basin Ecosyst Studies, Gifu 5011193, Japan</t>
  </si>
  <si>
    <t>Research Organization of Information &amp; Systems (ROIS); National Institute of Polar Research (NIPR) - Japan; Hiroshima University; Kyushu University; Gifu University</t>
  </si>
  <si>
    <t>Tsuru Univ, Dept Primary Educ, Tahara 3-8-1, Yamanashi 4028555, Japan.</t>
  </si>
  <si>
    <t>bekku@tsuru.ac.jp</t>
  </si>
  <si>
    <t>Kume, Atsushi/G-3523-2011; Nakatsubo, Takayuki/V-4520-2019</t>
  </si>
  <si>
    <t>Kume, Atsushi/0000-0002-0048-5680; Nakatsubo, Takayuki/0000-0003-3329-0123</t>
  </si>
  <si>
    <t>WOS:000227702800003</t>
  </si>
  <si>
    <t>Vallée, S; Payette, S</t>
  </si>
  <si>
    <t>Contrasted growth of black spruce (Picea mariana) forest trees at treeline associated with climate change over the last 400 years</t>
  </si>
  <si>
    <t>NORTHERN-HEMISPHERE; PINUS-SYLVESTRIS; TEMPERATURES; DYNAMICS; RECORD; TUNDRA; RECONSTRUCTION; ENVIRONMENT; INFERENCES; PATTERNS</t>
  </si>
  <si>
    <t>Several environmental indicators show that climate changed dramatically at the turn of the 19th century, with global warming throughout the 20th century. Among the most used proxies to evaluate long-term changes in climate are trees located at their northern range limit. Several studies have shown enhanced tree regeneration at treeline caused by recent warming, but no data are available on height growth performance of forest trees at treeline before and during the 20th century warmth. In this study, we examined the long-term growth performance of black spruce (Picea mariana [Mill.] B.S.P.) trees located in a lichen-spruce woodland, near the arctic treeline in eastern Canada. The study woodland is an old-growth stand that has escaped fire approximately during the past two millennia. We performed stem analysis on normally developed trees which grew in the woodland over the last centuries. The sampled trees are ramets from long-lived, self-regenerating black spruce clones that are forming small tree islands within the woodland. The co-occurrence of living and dead tree stems inside clones gives the opportunity to evaluate the growth performance of the same genets through time. Height and radial growth of 60 tree stems from 15 old-growth clones were evaluated for a period spanning the last 400 yr. Sampling included the two tallest living stems and the two tallest dead stems of randomly selected clones. No differences in height and radial growth were found among the 30 living stems nor among the 30 dead stems within clones. Living stems were 2 m taller and radial growth was 1.6 times greater than dead stems. Vertical development of stems was divided into two parts according to position of snow cover. Growth of dead and living stems was similar below the snowpack line. However, significant differences were found for growth above snowpack for the two types of stems. Growth above snow cover for all dead stems occurred between the 17th and 19th centuries. In contrast, growth of living stems above snow cover started during the late 19th century. Our data indicate that stems of the same genotype responded directly to climate change, in conjunction with climatic conditions prevailing at the time when they were protruding above the snowpack. Compared to extant trees, significantly smaller trees grew in the woodland during the Little Ice Age. Potential causal factors of differential growth performance through time are discussed.</t>
  </si>
  <si>
    <t>Univ Laval, Dept Biol, Quebec City, PQ G1K 7P4, Canada; Univ Laval, Ctr Etud Nord, Quebec City, PQ G1K 7P4, Canada</t>
  </si>
  <si>
    <t>Laval University; Laval University</t>
  </si>
  <si>
    <t>Univ Laval, Dept Biol, Quebec City, PQ G1K 7P4, Canada.</t>
  </si>
  <si>
    <t>Sheila.Vallee.1@ulaval.ca</t>
  </si>
  <si>
    <t>10.1657/1523-0430(2004)036[0400:CGOBSP]2.0.CO;2</t>
  </si>
  <si>
    <t>WOS:000227702800004</t>
  </si>
  <si>
    <t>Larocque, SJ; Smith, DJ</t>
  </si>
  <si>
    <t>Calibrated Rhhocarpon spp. growth curve for the Mount Waddington area, British Columbia Coast Mountains, Canada</t>
  </si>
  <si>
    <t>LICHENOMETRIC DATING CURVE; AGE GLACIAL ACTIVITY; HOLOCENE GLACIER; PROVINCIAL-PARK; CASCADE RANGE; NEW-ZEALAND; TH FR; ALASKA; USA; FLUCTUATIONS</t>
  </si>
  <si>
    <t>A calibrated Rhizocarpon spp. lichen growth curve spanning the last 680 yr was developed for the Bella Coola and Mount Waddington areas, southern Coast Mountains of British Columbia (Canada). It is based on 18 control surfaces whose ages were determined using radiocarbon dates, tree-ring dated moraines, and ice front positions derived from historical air photographs. Population distribution statistics were used to assess the validity of each control lichen measurement. The relationship is characterized by logarithmic growth during the first 100 yr following surface stabilization, and is described as linear for the successive 600 yr. Application of the curve at Tiedemarm Glacier revealed evidence for six periods of late-Neoglacial moraine formation in ca. AD 620, 925, 1118, 1392, 1575, and 1621. The. study confirms the importance of incorporating a multisite approach and a lichen population dynamic assessment. Large samples sizes and replication are also noted as necessary in order to adequately assess any dating errors.</t>
  </si>
  <si>
    <t>Univ Victoria, Dept Geog, Univ Vitoria Tree Ring Lab, Victoria, BC V8W 3P5, Canada</t>
  </si>
  <si>
    <t>University of Victoria</t>
  </si>
  <si>
    <t>Smith, DJ (corresponding author), Univ Victoria, Dept Geog, Univ Vitoria Tree Ring Lab, Victoria, BC V8W 3P5, Canada.</t>
  </si>
  <si>
    <t>smith@uvic.ca</t>
  </si>
  <si>
    <t>Smith, Dan/0000-0003-3619-9448</t>
  </si>
  <si>
    <t>10.1657/1523-0430(2004)036[0407:CRSGCF]2.0.CO;2</t>
  </si>
  <si>
    <t>WOS:000227702800005</t>
  </si>
  <si>
    <t>Rixen, C; Haeberli, W; Stoeckli, V</t>
  </si>
  <si>
    <t>Ground temperatures under ski pistes with artificial and natural snow</t>
  </si>
  <si>
    <t>MICROBIAL ACTIVITY; SLOPE VEGETATION; ALPINE TUNDRA; FREEZE-THAW; NIWOT RIDGE; DYNAMICS; NITROGEN; CARBON; MINERALIZATION; COLONIZATION</t>
  </si>
  <si>
    <t>Increasing production of artificial snow in ski resorts is controversially discussed, but only few investigations have been carried out systematically to specify the environmental impacts. We measured snow depth and density from groomed ski pistes (runs) with compacted snow and their effects on ground temperatures and timing of snowmelt. We analyzed groomed pistes with and without artificial snow (10 each) as well as adjacent ungroomed off-piste control plots beside the piste. On pistes with natural snow, the thin and compacted snow cover led to severe and long lasting seasonal soil frost. On pistes with artificial snow, soil frost occurred less frequently because of increased insulation due to the greater snow depth. However, due to the greater snow mass, the beginning of the snow-free season was delayed by more than 2 wk. Average winter ground temperatures under a continuous snow cover were decreased by approximately 1 degrees C on both piste types compared with off-piste control plots. The results suggest that the heat balance of alpine soils is changed by both piste types, either by an extensive heat loss on pistes with natural snow or by prolonged snow cover on pistes with artificial snow.</t>
  </si>
  <si>
    <t>Swiss Fed Inst Forest Snow &amp; Avalanche Res SLF, CH-7260 Davos, Switzerland; Univ Zurich, Inst Environm Sci, CH-8057 Zurich, Switzerland; Univ Zurich, Dept Geog, CH-8057 Zurich, Switzerland</t>
  </si>
  <si>
    <t>Swiss Federal Institutes of Technology Domain; Swiss Federal Institute for Forest, Snow &amp; Landscape Research; University of Zurich; University of Zurich</t>
  </si>
  <si>
    <t>Swiss Fed Inst Forest Snow &amp; Avalanche Res SLF, Fluelastr 11, CH-7260 Davos, Switzerland.</t>
  </si>
  <si>
    <t>rixen@slf.ch</t>
  </si>
  <si>
    <t>Rixen, Christian/0000-0002-2486-9988</t>
  </si>
  <si>
    <t>10.1657/1523-0430(2004)036[0419:GTUSPW]2.0.CO;2</t>
  </si>
  <si>
    <t>Bronze, Green Published, Green Submitted, Green Accepted</t>
  </si>
  <si>
    <t>WOS:000227702800006</t>
  </si>
  <si>
    <t>Totland, O; Grytnes, JA; Heegaard, E</t>
  </si>
  <si>
    <t>Willow canopies and plant community structure along an alpine environmental gradient</t>
  </si>
  <si>
    <t>PRIMARY SUCCESSION; POSITIVE INTERACTIONS; SPECIES RICHNESS; SOUTHERN NORWAY; GLACIER BAY; FACILITATION; COMPETITION; VEGETATION; HARDANGERJOKULEN; ASSOCIATIONS</t>
  </si>
  <si>
    <t>We examined the impact of Salix lapponum canopies on plant community structure in five sites along a climatic gradient in a glacier foreland in alpine south Norway. Species richness is lower inside canopies compared to outside in climatically relatively benign communities, while species richness is not affected by canopies in the most severe communities closest to the glacier. Differences in species composition inside and outside canopies, as judged by detrended correspondence analysis, are greater in the benign communities compared to the severe communities. Variation in the differences in species richness or composition outside and inside canopies within a community is related to differences in the reduction of photosynthetically active radiation (PAR) by canopies in only one community. Canopy size does not explain differences in species richness or composition between outside and inside canopies in any except one benign community. Our results suggest that species responses to canopies are individualistic, and that at the whole-community level negative and positive impacts of canopies on species occurrences cancel each other out in severe communities, whereas in benign communities negative effects dominate slightly over positive ones in their effects on species persistence inside canopies.</t>
  </si>
  <si>
    <t>Norwegian Univ Life Sci, Dept Ecol &amp; Nat Resource Management, N-1432 As, Norway; Univ Bergen, Dept Biol, N-5007 Bergen, Norway; Univ Bergen, Bjerknes Ctr Climate Res, N-5007 Bergen, Norway</t>
  </si>
  <si>
    <t>Norwegian University of Life Sciences; University of Bergen; Bjerknes Centre for Climate Research; University of Bergen</t>
  </si>
  <si>
    <t>Totland, O (corresponding author), Norwegian Univ Life Sci, Dept Ecol &amp; Nat Resource Management, POB 5003, N-1432 As, Norway.</t>
  </si>
  <si>
    <t>orjan.totland@umb.no</t>
  </si>
  <si>
    <t>Grytnes, John-Arvid/L-6357-2013; Grytnes, John-Arvid/JEP-6178-2023</t>
  </si>
  <si>
    <t>Grytnes, John-Arvid/0000-0002-6365-9676</t>
  </si>
  <si>
    <t>10.1657/1523-0430(2004)36[428:WCAPCS]2.0.CO;2</t>
  </si>
  <si>
    <t>WOS:000227702800007</t>
  </si>
  <si>
    <t>Kajimoto, T; Daimaru, H; Okamoto, T; Otani, T; Onodera, H</t>
  </si>
  <si>
    <t>Effects of snow avalanche disturbance on regeneration of subalpine Abies mariesii forest, northern Japan</t>
  </si>
  <si>
    <t>GLACIER-NATIONAL-PARK; CONIFEROUS FORESTS; GAP CHARACTERISTICS; TSUGA-DIVERSIFOLIA; DWARF BAMBOO; PATTERNS; HONSHU; USA; UNDERSTOREY; COEXISTENCE</t>
  </si>
  <si>
    <t>We examined the effects of snow avalanche on stand structure and the subsequent regeneration of subalpine Abies mariesii Mast forest in northern Japan, and discussed whether gap formation after avalanche disturbance leads to immediate seedling establishment or not. Tree size and age, tree-ring chronology, and seedling density were compared between, on, and around a relatively large avalanche path, which was created in the mid-1980s within Hachimantai National Park. On the avalanche path, only smaller and younger trees (height &lt;5 m, 50-100 yr old) escaped the mechanical damage of avalanche by leaning into the remaining snowpack, and old canopy trees were mostly killed by stem breakage. Tree size structure of the avalanche path, including both living and dead individuals, was relatively similar to that of nearby undisturbed forest, indicating that a mature stand (&gt;ca. 200 yr old) had been previously developed on the avalanche slope without large-scale disturbances in the past. Most of the surviving, younger trees showed abrupt growth release during the few years (1987-1989) after the avalanche event. However, densities of both post-avalanche (&lt; 15 yr old) and pre-avalanche (&gt; 15 yr old) seedlings were much lower on the avalanche path than in the nearby forest, especially at microsites covered with dense dwarf bamboo (Sasa kurilensis) shrub. The pre-avalanche seedlings on the avalanche path sharply increased annual height growth rates after the mid-1980s avalanche, but such positive growth response did not continue longer than 6 to 7 yr. These findings suggested that gap formation following the infrequent, large-scale avalanche disturbance did not necessarily lead to immediate seedling recruitment and/or further growth release of pre-avalanche seedlings. The constraint of seedling establishment was primarily explained by the lack of potential seed supply, and shading effect of the dwarf bamboo bush. Consequently, post-avalanche regeneration of the subalpine fir forest was likely to depend on the smaller individuals (2-5 m in height) that were able to avoid both the mechanical damage of avalanche and mortality from shading by the dwarf bamboo.</t>
  </si>
  <si>
    <t>Forestry &amp; Forest Prod Res Inst, Tsukuba 3058687, Japan; Forestry &amp; Forest Prod Res Inst, Tohoku Res Ctr, Morioka, Iwate 0200123, Japan; Forestry &amp; Forest Prod Res Inst, Kyushu Res Ctr, Kumamoto 8600862, Japan; Yamagata Univ, Fac Agr, Wakaba, Tsuruoka 9978555, Japan</t>
  </si>
  <si>
    <t>Forestry &amp; Forest Products Research Institute - Japan; Forestry &amp; Forest Products Research Institute - Japan; Forestry &amp; Forest Products Research Institute - Japan; Yamagata University</t>
  </si>
  <si>
    <t>Forestry &amp; Forest Prod Res Inst, Kyushu Res Ctr, Kumamoto 8600862, Japan.</t>
  </si>
  <si>
    <t>tkaji@ffpri.affrc.go.jp</t>
  </si>
  <si>
    <t>10.1657/1523-0430(2004)036[0436:EOSADO]2.0.CO;2</t>
  </si>
  <si>
    <t>WOS:000227702800008</t>
  </si>
  <si>
    <t>Wilson, SE; Gajewski, K</t>
  </si>
  <si>
    <t>Modern chironomid assemblages and their relationship to physical and chemical variables in southwest Yukon and northern British Columbia lakes</t>
  </si>
  <si>
    <t>PAST ENVIRONMENTAL-CONDITIONS; CHRYSOPHYTE CYST ASSEMBLAGES; FRESH-WATER CHIRONOMIDAE; QUANTITATIVE INDICATORS; HYPOLIMNETIC ANOXIA; NORTHWEST-TERRITORIES; AIR TEMPERATURES; MODERN DIATOM; DIPTERA; INSECTA</t>
  </si>
  <si>
    <t>Modem chironomid assemblages consisting of 68 taxa were extracted from the sediments of 39 lakes in southwest Yukon and northern British Columbia, Canada. Important factors accounting for the distribution of the chironomid taxa include sediment organic matter (LOI; weight-loss-on-ignition), total phosphorus, bottom water temperature, and lake alkalinity. The results show the importance of organic matter, which is associated with water depth and lake productivity, in affecting chironomid community composition. Tanytarsus sp. C, Tanytarsus pallidicornis type, Allo/Mesopsectrocladius, Polypedilum, and Procladius were associated with lakes having high LOI values and shallow lake depths, while Paratanytarsus, Sergentia, and Corynocera oliveri type were more prevalent in deeper lakes with more minerogenic sediments. Surprisingly, Chironomus was most abundant in deeper lakes with low LOI values, which might be partially explained by low oxygen levels. Contrary to some findings, Tanytarsus lugens group was common in shallow, productive lakes in this region.</t>
  </si>
  <si>
    <t>Univ Ottawa, Dept Geog, Lab Paleoclimatol &amp; Climatol, Ottawa, ON K1N 6N5, Canada</t>
  </si>
  <si>
    <t>University of Ottawa</t>
  </si>
  <si>
    <t>Univ Ottawa, Dept Geog, Lab Paleoclimatol &amp; Climatol, Ottawa, ON K1N 6N5, Canada.</t>
  </si>
  <si>
    <t>gajewski@aix1.uottawa.ca</t>
  </si>
  <si>
    <t>Gajewski, Konrad/L-5128-2017</t>
  </si>
  <si>
    <t>10.1657/1523-0430(2004)036[0446:MCAATR]2.0.CO;2</t>
  </si>
  <si>
    <t>WOS:000227702800009</t>
  </si>
  <si>
    <t>Illeris, L; König, SM; Grogan, P; Jonasson, S; Michelsen, A; Ro-Poulsen, H</t>
  </si>
  <si>
    <t>Growing-season carbon dioxide flux in a dry subarctic heath:: Responses to long-term manipulations</t>
  </si>
  <si>
    <t>SIMULATED ENVIRONMENTAL-CHANGE; EDDY COVARIANCE MEASUREMENTS; CLIMATE-CHANGE; CO2 FLUX; TUSSOCK TUNDRA; NUTRIENT APPLICATION; DIFFERENTIAL GROWTH; POLAR SEMIDESERT; FIELD RESPONSES; GLOBAL CHANGE</t>
  </si>
  <si>
    <t>Carbon dioxide fluxes in a dry subarctic heath were examined after 10 and 11 yr of experimental manipulations of temperature, light, and nutrients. The aim was to investigate how growing season carbon (C) balance was affected by the major climatic factors that are expected to change in the future. Carbon flux was measured in closed chambers as uptake through gross ecosystem production (GP), release through ecosystem respiration (ER), and as net ecosystem production (NEP). Diurnal NEP through a day with clear skies at peak growing season was consistently negative through all treatments the first year of measurement, and day-time NEP varied around zero at eight days across the growing season the second year, implying that a net release of C from the ecosystem to the atmosphere may take place during the growing season. Our results suggest that respiration was the main determinant of C balance, and that variations in light levels and temperature could alter the balance between C uptake and C loss. Fertilization strongly enhanced both ER and GP whereas temperature enhancement changed neither ER nor GP. Shading decreased both ER and GP. After harvest of the aboveground plant biomass, the belowground respiration was 72 to 93% of the ER before harvest. The significant treatment effects on belowground respiration after harvest were similar to the effects on ER before harvest. These results suggest that the ER were mainly from belowground respiration, and that the treatments affected the belowground respiration more than the respiration above ground.</t>
  </si>
  <si>
    <t>Univ Copenhagen, Inst Biol, DK-1353 Copenhagen, Denmark; Queens Univ, Dept Biol, Kingston, ON K7L 3N6, Canada</t>
  </si>
  <si>
    <t>University of Copenhagen; Queens University - Canada</t>
  </si>
  <si>
    <t>Univ Copenhagen, Inst Biol, Oster Farimagsgade 2D, DK-1353 Copenhagen, Denmark.</t>
  </si>
  <si>
    <t>Lottei@bi.ku.dk</t>
  </si>
  <si>
    <t>; Michelsen, Anders/L-5279-2014; Ro-Poulsen, Helge/M-3034-2014</t>
  </si>
  <si>
    <t>Illeris, Lotte/0000-0002-2313-4680; Michelsen, Anders/0000-0002-9541-8658; Ro-Poulsen, Helge/0000-0002-6531-118X</t>
  </si>
  <si>
    <t>10.1657/1523-0430(2004)036[0456:GCDFIA]2.0.CO;2</t>
  </si>
  <si>
    <t>WOS:000227702800010</t>
  </si>
  <si>
    <t>Olofsson, J</t>
  </si>
  <si>
    <t>Positive and negative plant-plant interactions in two contrasting arctic-alpine plant communities</t>
  </si>
  <si>
    <t>COMPETITION INTENSITY; FIELD EXPERIMENTS; DWARF SHRUBS; FACILITATION; NITROGEN; GROWTH; MYCORRHIZAL; AVAILABILITY; GRADIENTS; BALANCE</t>
  </si>
  <si>
    <t>Positive interactions in alpine plant communities have been reported to increase in importance with increasing altitude and exposure. Positive and negative interactions between plants might occur simultaneously, so the net plant-plant interaction is determined by the balance between positive and negative effects. I investigated the relative effect of facilitation and resource competition by surrounding dwarf shrubs on Carex bigelowii in two contrasting arctic-alpine tundra heathlands. Carex bigelowii was positively associated with dwarf shrubs on an exposed mountain ridge but negatively associated with dwarf shrubs on a protected heath. A removal experiment indicated that positive associations at the exposed site are the result of facilitation of C. bigelowii by the dwarf shrub canopy. Our understanding of arctic and alpine plant communities can be enhanced by regarding plant interactions as combinations of positive and negative components.</t>
  </si>
  <si>
    <t>Umea Univ, Dept Ecol &amp; Environm Sci, S-90187 Umea, Sweden</t>
  </si>
  <si>
    <t>Umea University</t>
  </si>
  <si>
    <t>Umea Univ, Dept Ecol &amp; Environm Sci, S-90187 Umea, Sweden.</t>
  </si>
  <si>
    <t>johan.olofsson@eg.umu.se</t>
  </si>
  <si>
    <t>Olofsson, Johan/A-9362-2009</t>
  </si>
  <si>
    <t>10.1657/1523-0430(2004)036[0464:PANPII]2.0.CO;2</t>
  </si>
  <si>
    <t>WOS:000227702800011</t>
  </si>
  <si>
    <t>Graae, BJ; Pagh, S; Bruun, HH</t>
  </si>
  <si>
    <t>An experimental evaluation of the arctic fox (Alopex lagopus) as a seed disperser</t>
  </si>
  <si>
    <t>SUMMER FOOD-HABITS; CANARY-ISLANDS; WEST GREENLAND; GERMINATION; VACCINIUM; PARADOX; FORESTS; MAMMALS; REGION; ALASKA</t>
  </si>
  <si>
    <t>Arctic foxes are evaluated as seed dispersal vectors for Greenlandic plant species through a feeding experiment with subsequent scat analysis and germination test. Seeds of 22 common species with different morphology were tested. Passage time ranged between 4 and 48 It. No significant differences were detected in passage time for seeds with different morphology. Cerastium alpinum and Stellaria longipes had higher germination after passage through the fox's digestive tract when compared to controls. Sibbaldia procumbens, Oxyria digyna, and Silene acaulis were favored by passage when shorter than 10 h. Salix glauca ssp. callicarpaea, Veronica alpina, Gnaphalium norvegicum, Papaver radicatum, Ranunculus hyperboreus, Chamaenerion latifolium, Luzula parviflora, and bulbils of Polygonunt viviparum and Saxifraga cernua were inhibited by passage, whereas the remaining species had germination percentage too low to allow for evaluation. Species with adaptations to wind dispersal seemed particularly vulnerable to gut passage. Arctic foxes are able to provide long-distance dispersal of seeds lacking morphological adaptations to dispersal, but for most species seeds need to be defecated within 12 h to remain viable.</t>
  </si>
  <si>
    <t>Univ Copenhagen, Arctic Stn, Qeqertarsuaq 3953, Greenland; Zool Museum, DK-5700 Svendborg, Denmark; Univ Stockholm, Dept Zool, S-10691 Stockholm, Sweden</t>
  </si>
  <si>
    <t>Stockholm University</t>
  </si>
  <si>
    <t>Graae, BJ (corresponding author), Umea Univ, Dept Ecol &amp; Environm Sci, Climate Impact Res Ctr, S-90187 Umea, Sweden.</t>
  </si>
  <si>
    <t>Bente.Graae@eg.umu.se</t>
  </si>
  <si>
    <t>Bruun, Hans Henrik/C-4476-2008</t>
  </si>
  <si>
    <t>Bruun, Hans Henrik/0000-0003-0674-2577</t>
  </si>
  <si>
    <t>10.1657/1523-0430(2004)036[0468:AEEOTA]2.0.CO;2</t>
  </si>
  <si>
    <t>WOS:000227702800012</t>
  </si>
  <si>
    <t>Moore, MM; Huffmant, DW</t>
  </si>
  <si>
    <t>Tree encroachment on meadows of the North Rim, Grand Canyon National Park, Arizona, USA</t>
  </si>
  <si>
    <t>SUB-ALPINE MEADOWS; PINE FOREST; FIRE; INVASION; CLIMATE; SPRUCE; ASPEN; ELK; ESTABLISHMENT; REGENERATION</t>
  </si>
  <si>
    <t>We analyzed attributes of tree encroachment on montane meadows and subalpine grasslands on the North Rim of Grand Canyon National Park. Species composition, age, density, height, diameter, condition class, and patterns of tree establishment were examined on belt transects at 12 meadow sites. Of the 3481 live and dead trees sampled, 52% of all trees were Populus tremuloides, 20% were Picea spp., 11% were Abies lasiocarpa, 10% were Abies and 7% were Pinus ponderosa. Tree densities averaged 4703 trees ha(-1). Sixty-concolor, two percent of the trees sampled were less than 20 yr of age, although some species established in the early and mid-1800s. Ninety-one percent of all trees, however, established after the mid-1930s, with the greatest establishment occurring after the early 1970s. Of this 91%, Populus tremuloides composed the majority (90%) of recent tree recruitment, with a mean establishment date of 1983-1984. A general pattern of progressively younger trees from the closed forest toward the meadow interiors was detected for some species, and together with little evidence of historical tree occurrence (e.g., large standing dead, downed logs, etc.) on the transects, indicated that trees had been encroaching on these meadows since the 1800s. These trends suggest a loss of important meadow habitat and landscape biodiversity within Grand Canyon National Park during the past century.</t>
  </si>
  <si>
    <t>No Arizona Univ, Sch Forestry, Flagstaff, AZ 86011 USA; No Arizona Univ, Ecol Restorat Inst, Flagstaff, AZ 86011 USA</t>
  </si>
  <si>
    <t>Northern Arizona University; Northern Arizona University</t>
  </si>
  <si>
    <t>No Arizona Univ, Sch Forestry, Flagstaff, AZ 86011 USA.</t>
  </si>
  <si>
    <t>Margaret.Moore@nau.edu</t>
  </si>
  <si>
    <t>10.1657/1523-0430(2004)036[0474:TEOMOT]2.0.CO;2</t>
  </si>
  <si>
    <t>WOS:000227702800013</t>
  </si>
  <si>
    <t>Gianoli, E; Inostroza, P; Zúñiga-Feest, A; Reyes-Díaz, M; Cavieres, LA; Bravo, LA; Corcuera, LJ</t>
  </si>
  <si>
    <t>Ecotypic differentiation in morphology and cold resistance in Populations of Colobanthus quitensis (Caryophyllaceae) from the Andes of central Chile and the maritime Antarctic</t>
  </si>
  <si>
    <t>NUCLEAR RIBOSOMAL DNA; PHENOTYPIC PLASTICITY; LOCAL ADAPTATION; PLANT; EVOLUTION; GROWTH; SIZE; ECOPHYSIOLOGY; VEGETATION; SEQUENCES</t>
  </si>
  <si>
    <t>Colobanthus quitensis is one of only two vascular plant species that occur in the Antarctic islands. We evaluated morphological and physiological traits and survival after freezing in individuals of C. quitensis collected in two populations: one from the Andes of central Chile and the other from the maritime Antarctic. We addressed whether these populations are ecotypes in terms of shoot morphology and physiology, and cold resistance. We also evaluated genetic differentiation at the internal transcribed spacer (ITS) regions. Under controlled growing conditions, Andean plants had longer and narrower leaves and longer peduncles. However, shoot biomass was similar in both populations. There was a 1.17% sequence divergence of ITS regions between populations. Survival to freezing at temperatures from 0 degrees to - 16 degrees C was not different in nonacclimated plants. After cold-acclimation at 4 degrees C, freezing tolerance was greater in Antarctic plants. Both Andean and Antarctic plants increased soluble sugars with increasing acclimation time, but it did not differ between populations. Shoot water content decreased with acclimation time in both populations, but Antarctic plants maintained slightly higher water contents after cold exposure. Shoot growth did not differ during acclimation. The studied populations of C. quitensis represent different morphological and cold resistant ecotypes despite their genetic similarity. However, the mechanistic basis of the higher survival to freezing of Antarctic plants was not elucidated.</t>
  </si>
  <si>
    <t>Univ Concepcion, Dept Bot, Concepcion, Chile</t>
  </si>
  <si>
    <t>Universidad de Concepcion</t>
  </si>
  <si>
    <t>Gianoli, E (corresponding author), Univ Concepcion, Dept Bot, Casilla 160-C, Concepcion, Chile.</t>
  </si>
  <si>
    <t>egianoli@udec.cl</t>
  </si>
  <si>
    <t>Bravo, Leon/H-9251-2018; Cavieres, Lohengrin A./A-9542-2010; Bravo, León/AAO-8437-2020; Corcuera, Luis J/G-1714-2014; Zuniga-Feest, Alejandra/D-8308-2015; Gianoli, Ernesto/A-7984-2015</t>
  </si>
  <si>
    <t>Bravo, Leon/0000-0003-4705-4842; Cavieres, Lohengrin A./0000-0001-9122-3020; Bravo, León/0000-0003-4705-4842; Zuniga-Feest, Alejandra/0000-0002-3524-9813; Gianoli, Ernesto/0000-0003-4246-8640</t>
  </si>
  <si>
    <t>10.1657/1523-0430(2004)036[0484:EDIMAC]2.0.CO;2</t>
  </si>
  <si>
    <t>WOS:000227702800014</t>
  </si>
  <si>
    <t>Karels, TJ; Koppel, L; Hik, DS</t>
  </si>
  <si>
    <t>Fecal pellet counts as a technique for monitoring an alpine-dwelling social rodent, the hoary marmot (Marmota caligata)</t>
  </si>
  <si>
    <t>HARE POPULATION-DENSITY; PREDATION RISK; SIZE; DYNAMICS; BEHAVIOR; QUALITY; CENSUS; FOREST</t>
  </si>
  <si>
    <t>We evaluated fecal pellet counts as an index of hoary marmot (Marmota caligata) social group size in order to develop a simple, inexpensive method for monitoring population change of a widely distributed, but poorly studied alpine mammal. Fecal pellet counts were conducted in three separate seasons along several 2 in X 100 in transects located parallel to and 10, 20, and 30 in from the edge of alpine boulderfields (talus) occupied by marmots. Marmot activity and location relative to talus was also determined to assess the proportion of time spent foraging as a function of distance from refuge. Marmots spent 74% of their activities in meadows at a mean distance of 11.6 in from talus, and activity in meadows declined with increasing distance from talus, as did fecal pellet counts. Fecal counts at 10 in from the edge of talus were strongly and linearly related (r(2) = 0.89) to marmot abundance. The functional equation of marmot abundance predicted marmot abundance in five independent social groups within 17% of the observed group size. Fecal pellet counts appear to provide a precise index of marmot group size suitable for long-term monitoring of population change.</t>
  </si>
  <si>
    <t>Univ Alberta, Dept Biol Sci, Edmonton, AB T6G 2E9, Canada</t>
  </si>
  <si>
    <t>University of Alberta</t>
  </si>
  <si>
    <t>Auburn Univ, Dept Biol Sci, 331 Funchess Hall, Auburn, AL 36849 USA.</t>
  </si>
  <si>
    <t>kareltj@auburn.edu</t>
  </si>
  <si>
    <t>Hik, David/B-3462-2009</t>
  </si>
  <si>
    <t>Hik, David/0000-0002-8994-9305</t>
  </si>
  <si>
    <t>10.1657/1523-0430(2004)036[0490:FPCAAT]2.0.CO;2</t>
  </si>
  <si>
    <t>WOS:000227702800015</t>
  </si>
  <si>
    <t>McGowan, HA</t>
  </si>
  <si>
    <t>Observations of anti-winds in a deep alpine valley, Lake Tekapo, New Zealand</t>
  </si>
  <si>
    <t>MOUNTAIN; TERRAIN; MERKUR; BUDGET; CANYON; BASIN; FIELD; FLOW</t>
  </si>
  <si>
    <t>This paper presents observations of summertime anti-winds monitored under ideal conditions in the Lake Tekapo hydro-catchment situated in the central Southern Alps, New Zealand. Onset and cessation of anti-winds was observed to coincide with the change in phase of the surface limbs of thermally generated valley and mountain winds under settled anti-cyclonic conditions. Anti-winds were best developed in the early morning before surface heating and associated convective mixing of the valley atmosphere began to mask the boundaries between the surface based limb of the mountain-valley wind and the corresponding anti-wind. By mid-day, the anti-valley wind exceeded the height of the surrounding ridgeline and became embedded in the topographically channeled gradient wind. Observations presented here have both theoretical and applied implications with regard to the development of thermally generated wind systems in deep alpine valleys, and their role in the dispersion of air pollution.</t>
  </si>
  <si>
    <t>Univ Queensland, Sch Geog Planning &amp; Architecture, St Lucia, Qld 4072, Australia</t>
  </si>
  <si>
    <t>University of Queensland</t>
  </si>
  <si>
    <t>McGowan, HA (corresponding author), Univ Queensland, Sch Geog Planning &amp; Architecture, St Lucia, Qld 4072, Australia.</t>
  </si>
  <si>
    <t>h.mcgowan@uq.edu.au</t>
  </si>
  <si>
    <t>McGowan, Hamish/AAD-9607-2021</t>
  </si>
  <si>
    <t>10.1657/1523-0430(2004)036[0495:OOAIAD]2.0.CO;2</t>
  </si>
  <si>
    <t>WOS:000227702800016</t>
  </si>
  <si>
    <t>Bradwell, T</t>
  </si>
  <si>
    <t>Annual moraines and summer temperatures at Lambatungnajokull, Iceland</t>
  </si>
  <si>
    <t>RIDGES; CURVE</t>
  </si>
  <si>
    <t>A complex sequence of sawtooth moraines occurs on the proglacial foreland at Lambatungnajokull, southeast Iceland. These features reflect the pattern of deglaciation of a highly crevassed ice margin. The whole sequence documents a period of overall glacier recession exceeding 450 m. Dates have been interpolated for the formation of these moraines through the examination of aerial photographs and the application of lichenometry. The moraines formed annually between AD similar to 1932 and 1950. Retreat rates were greatest between 1933 and 1939 and slowest between 1942 and 1944, as reflected by the spacing of annual moraine ridges. Differences in glacier recession rate from year to year are related to variations in mean summer air temperature. A rise in mean summer temperature of VC results in a retreat rate of similar to 30 In yr(-1). It is shown that annual moraine spacings are a suitable geomorphological proxy for annual net glacier balance and a potentially valuable source of paleoclimatic information.</t>
  </si>
  <si>
    <t>Univ Edinburgh, Sch Geosci, Edinburgh EH8 9XR, Midlothian, Scotland</t>
  </si>
  <si>
    <t>University of Edinburgh</t>
  </si>
  <si>
    <t>British Geol Survey, W Mains Rd, Edinburgh EH9 3LA, Midlothian, Scotland.</t>
  </si>
  <si>
    <t>tbrad@bgs.ac.uk</t>
  </si>
  <si>
    <t>Bradwell, Tom/0000-0003-0947-3309</t>
  </si>
  <si>
    <t>10.1657/1523-0430(2004)036[0502:AMASTA]2.0.CO;2</t>
  </si>
  <si>
    <t>WOS:000227702800017</t>
  </si>
  <si>
    <t>le Roux, PC; McGeoch, MA</t>
  </si>
  <si>
    <t>The use of size as an estimator of age in the subantarctic cushion plant, Azorella selago (Apiaceae)</t>
  </si>
  <si>
    <t>PRIMARY SUCCESSION; KERGUELEN ISLANDS; GROWTH; GLACIER; LICHENOMETRY; TREE; DENDROCHRONOLOGY; MARITIME; ECOLOGY; CLIMATE</t>
  </si>
  <si>
    <t>Plant species with morphological features that enable the age of individuals to be estimated are potentially useful for understanding past environmental conditions. Here, the size and growth rate of the cushion plant, Azorella selago Hook. (Apiaceae), are examined to determine if an accurate and reliable age can be assigned to individual plants using the phytometric model detailed by Frenot et al. (1993). Plant size, growth rate, epiphyte load, nearest-neighbor characteristics, and spatial position (used as a surrogate, to encompass a range of abiotic conditions to which plants were exposed) were measured at three sites. Additionally, variation in some of these variables was quantified across three altitudinal transects. Relationships were examined using regression, trend surface and partial regression approaches. Growth rate was independent of plant size, differed between sites, and was related to abiotic as well as other biotic factors. As a result, the phytometric model's age estimates may be biased by environmental variables. The results of the phytometric model, albeit in the absence of support for one assumption, estimated mean plant age at 30 yr, with some plants estimated as older than 80 yr. Using a simulation model, the accuracy of age estimates was shown to vary with temporal variation in plant growth rate and plant size. Nonetheless, even a conservative approach suggested these estimates to be accurate to within 2 to 15 yr. While further development of the phytometric model would improve its reliability, the model remains a valuable tool for estimating plant ages in an environment where many related techniques can not be applied.</t>
  </si>
  <si>
    <t>Univ Stellenbosch, Dept Conservat Ecol, ZA-7602 Matieland, South Africa</t>
  </si>
  <si>
    <t>Univ Stellenbosch, Dept Conservat Ecol, Private Bag X01, ZA-7602 Matieland, South Africa.</t>
  </si>
  <si>
    <t>mcgeoch@sun.ac.za</t>
  </si>
  <si>
    <t>le Roux, Peter Christiaan/E-7784-2011; McGeoch, Melodie/F-8353-2011</t>
  </si>
  <si>
    <t>le Roux, Peter Christiaan/0000-0002-7941-7444; McGeoch, Melodie/0000-0003-3388-2241</t>
  </si>
  <si>
    <t>10.1657/1523-0430(2004)36[509:TUOSAA]2.0.CO;2</t>
  </si>
  <si>
    <t>WOS:000227702800018</t>
  </si>
  <si>
    <t>Escudero, A; Giménez-Benavides, L; Iriondo, JM; Rubio, A</t>
  </si>
  <si>
    <t>Patch dynamics and islands of fertility in a high mountain Mediterranean community</t>
  </si>
  <si>
    <t>CACTUS NEOBUXBAUMIA-TETETZO; CAULESCENT ANDEAN ROSETTES; PLANT-COMMUNITIES; POSITIVE INTERACTIONS; SPATIAL-PATTERNS; SOIL PROPERTIES; ALPINE TUNDRA; PATAGONIAN STEPPE; ORGANIC-MATTER; INTERSPECIFIC INTERACTIONS</t>
  </si>
  <si>
    <t>Vegetation in high Mediterranean mountains usually consists of patchy communities. Patch structures have been interpreted as a result of the prevalence of facilitation phenomena in highly stressful environments. Several mechanisms have been proposed in order to explain the factors that control the existence of these clumped structures. However, they have not been evaluated in these mountains. Our hypothesis is that patchy structure in high mountain Mediterranean vegetation is a consequence of facilitative and competitive interactions in a very harsh environment which ultimately involve strong localized effects on soil properties. Our results show that levels of soil nutrients were higher under vegetation patches than in bare ground areas, confirming the hypothesis of an amelioration of soil resources under canopies. Pairwise associations and repulsions suggest the existence of two contrasting composition stages. Contrasting models relating patch species composition (cover and biomass) and soil resources indicated a weak relationship between species features and soil nutrient levels. Finally, structural modeling showed that patch size has a relevant but indirect effect on soil resource levels through grass and total biomass. We conclude that patch structure and dynamics in high Mediterranean mountain communities may be partly controlled by an endogenous process involving facilitation and competition for soil key resources. These interactions may operate through some community traits related to patch size but not to composition.</t>
  </si>
  <si>
    <t>Univ Rey Juan Carlos, Escuela Super Ciencias Expt &amp; Tecnol, Biodivers &amp; Conservat Grp, E-28933 Madrid, Spain; Univ Politecn Madrid, Escuela Univ Ingn Agr, Dept Biol Vegetal, E-28040 Madrid, Spain; Univ Politecn Madrid, Escuela Tecn Super Ingn Montes, Dept Silvopascicultura, Lab Edafol, E-28040 Madrid, Spain</t>
  </si>
  <si>
    <t>Universidad Rey Juan Carlos; Universidad Politecnica de Madrid; Universidad Politecnica de Madrid</t>
  </si>
  <si>
    <t>Univ Rey Juan Carlos, Escuela Super Ciencias Expt &amp; Tecnol, Biodivers &amp; Conservat Grp, E-28933 Madrid, Spain.</t>
  </si>
  <si>
    <t>a.escudero@escet.urjc.es; l.gimenez@escet.urjc.es; iriondo@ccupm.upm.es; arubio@montes.upm.es</t>
  </si>
  <si>
    <t>Gimenez-Benavides, Luis/A-3751-2009; Iriondo, Jose M./B-3112-2008; Escudero, Adrian/H-5046-2015; Rubio, Agustin/B-7577-2008</t>
  </si>
  <si>
    <t>Gimenez-Benavides, Luis/0000-0001-6319-1180; Iriondo, Jose M./0000-0003-2710-3889; Escudero, Adrian/0000-0002-1427-5465; Rubio, Agustin/0000-0002-1021-5203</t>
  </si>
  <si>
    <t>10.1657/1523-0430(2004)036[0518:PDAIOF]2.0.CO;2</t>
  </si>
  <si>
    <t>WOS:000227702800019</t>
  </si>
  <si>
    <t>Elberling, B; Jakobsen, BH; Berg, P; Sondergaard, J; Sigsgaard, C</t>
  </si>
  <si>
    <t>Influence of vegetation, temperature, and water content on soil carbon distribution and mineralization in four high Arctic soils</t>
  </si>
  <si>
    <t>CO2 EFFLUX; DIOXIDE EVOLUTION; MICROBIAL BIOMASS; FIELD RESPONSES; ORGANIC-MATTER; GAS-DIFFUSION; BROOKS RANGE; TUNDRA; RESPIRATION; DEPENDENCE</t>
  </si>
  <si>
    <t>Soil organic matter distributions, reservoirs, and mineralization rates in tundra soils are important factors for understanding biogeochemical carbon cycling. This study focuses on spatial trends and environmental controls of soil carbon distribution and microbial soil respiration in 4 tundra vegetation communities in an arctic valley in NE-Greenland (74 degrees N), including Dryas and Cassiope heaths, Salix snow bed, and fen vegetation. Measured total soil organic carbon in the upper 50 cm averaged (-+/-SD) 11.0 +/- 1.5 kg C m(-2) with spatial variations strongly affected by vegetation, hydrology, and buried organic layers. Observed Soil CO2 concentrations and effluxes were simulated with a steady-state diffusion model using laboratory measured CO2 productions as input. Simulated CO2 profiles and CO2 effluxes (up to 3 mu mol CO2 m(-2) s(-1)) agreed with field observations and revealed the importance of both vegetation- and depth-specific CO2 production and CO2 diffusion for understanding the spatial variation in near-surface Soil CO2 gas dynamics. These results confirm that molecular diffusion dominates gas transport in the studied soils; but also that the complexity Of CO2 production/transport coupled to soil heterogeneity (in particular the litter layer) complicates the application of soil-diffusion models to estimate seasonal trends of soil gas effluxes.</t>
  </si>
  <si>
    <t>Univ Copenhagen, Inst Geog, DK-1350 Copenhagen, Denmark; Univ Virginia, Dept Environm Sci, Charlottesville, VA 22904 USA</t>
  </si>
  <si>
    <t>University of Copenhagen; University of Virginia</t>
  </si>
  <si>
    <t>Univ Copenhagen, Inst Geog, Oster Voldgade 10, DK-1350 Copenhagen, Denmark.</t>
  </si>
  <si>
    <t>Søndergaard, Jens/I-7459-2013; Søndergaard, Jens/AAZ-1079-2020; Elberling, Bo/M-4000-2014</t>
  </si>
  <si>
    <t>Søndergaard, Jens/0000-0001-7680-9920; Elberling, Bo/0000-0002-6023-885X</t>
  </si>
  <si>
    <t>10.1657/1523-0430(2004)036[0528:IOVTAW]2.0.CO;2</t>
  </si>
  <si>
    <t>WOS:000227702800020</t>
  </si>
  <si>
    <t>Russell, M; Marsh, P; Onclin, C</t>
  </si>
  <si>
    <t>A continuous dye injection system for estimating discharge in snow-choked streams</t>
  </si>
  <si>
    <t>FLUXES; WATER</t>
  </si>
  <si>
    <t>A simple method is presented which demonstrates the use of continuously injected Rhodamine WT dye to provide automated around-the-clock estimates of flow during the spring breakup. Dye of a known concentration is injected at a constant rate upstream from a sampling point, and the dilution of the dye in the sampled downstream water is a measure of discharge. Field trials conducted in and around Inuvik, Northwest Territories in two small snow-choked streams during spring breakup of 1995 to 1999 suggest that some dye is adsorbed to suspended sediment in the stream channel, resulting in an overestimate of discharge. However, there is still a strong linear relationship between the discharge as estimated by the dye method and that determined by conventional current metering. Correcting the dye values by a linear regression equation line results in a reasonable estimate of streamflow. This method's most promising application is in the monitoring of small basins where much of the annual discharge occurs during the spring melt. Given the occurrence of rapid changes in discharge in these basins due to both diurnal variations in snowmelt and changing runoff source area, and the excessive manpower required to carry out a sufficient number of current meterings needed to properly observe this changing discharge, the dye dilution method often provides a more accurate estimate of discharge.</t>
  </si>
  <si>
    <t>Environm Canada, Natl Hydrol Res Ctr, Saskatoon, SK S7N 3H5, Canada</t>
  </si>
  <si>
    <t>Environment &amp; Climate Change Canada; National Hydrology Research Centre</t>
  </si>
  <si>
    <t>Environm Canada, Natl Hydrol Res Ctr, 11 Innovat Blvd, Saskatoon, SK S7N 3H5, Canada.</t>
  </si>
  <si>
    <t>Mark.Russell@ec.gc.ca</t>
  </si>
  <si>
    <t>10.1657/1523-0430(2004)036[0539:ACDISF]2.0.CO;2</t>
  </si>
  <si>
    <t>WOS:000227702800021</t>
  </si>
  <si>
    <t>Dubé, S; Filion, L; Hétu, B</t>
  </si>
  <si>
    <t>Tree-ring reconstruction of high-magnitude snow avalanches in the northern Gaspe Peninsula, Quebec, Canada</t>
  </si>
  <si>
    <t>SCREE SLOPE; NATIONAL-PARK; USA; FOREST; DISTURBANCE; FREQUENCY; COLORADO; MONTANA; RECORDS; NORWAY</t>
  </si>
  <si>
    <t>In eastern Canada, snow avalanches are a common phenomenon, but their occurrences remain poorly documented. In the last 30 yr, they were responsible for deaths and damage to property and forests in avalanche-prone areas in northern and eastern Quebec. This study provides tree-ring-based avalanche chronologies for three scree slope stands in the northern Gaspe Peninsula (Quebec). Tree-ring records indicated that high-magnitude avalanches occurred seven times during the period from 1860 to 1997, i.e., in 1871, 1898, 1952, 1956, 1966, 1977, and 1996, with 5- to 15-yr return intervals for the period between 1939 and 1997. High-magnitude avalanches occurred during snowy winters, with total snowfall well above average (330 cm). According to the size of past runout zones established from damaged trees at the main study stand, snow avalanches were greater in 1956 and 1966 than in 1996. The 1996 avalanche area was about 16,600 m(2) of which 60% (10,000 m(2)) was covered with mature trees. It caused a similar to 200-m recession of the tree line. Causal factors of snow avalanches including weather conditions and stand characteristics were also examined.</t>
  </si>
  <si>
    <t>Univ Laval, Dept Geog, Quebec City, PQ G1K 7P4, Canada; Univ Laval, Ctr Etud Nord, Quebec City, PQ G1K 7P4, Canada; Univ Quebec, Rimouski, PQ G5L 3A1, Canada; Ctr Etud Nord, Rimouski, PQ G5L 3A1, Canada</t>
  </si>
  <si>
    <t>Laval University; Laval University; University of Quebec</t>
  </si>
  <si>
    <t>Univ Laval, Dept Geog, Quebec City, PQ G1K 7P4, Canada.</t>
  </si>
  <si>
    <t>Louise.Filion@cen.ulaval.ca</t>
  </si>
  <si>
    <t>10.1657/1523-0430(2004)036[0555:TROHSA]2.0.CO;2</t>
  </si>
  <si>
    <t>WOS:000227702800022</t>
  </si>
  <si>
    <t>Macias, M; Timonen, M; Kirchhefer, AJ; Lindholm, M; Eronen, M; Gutiérrez, E</t>
  </si>
  <si>
    <t>Growth variability of Scots pine (Pinus sylvestris) along a west-east gradient across northern Fennoscandia:: A dendroclimatic approach</t>
  </si>
  <si>
    <t>TREE-RING RECORDS; ATLANTIC OSCILLATION; SUMMER TEMPERATURES; WINTER TEMPERATURES; RECONSTRUCTION; GREENLAND; SEESAW; EUROPE</t>
  </si>
  <si>
    <t>We performed a spatiotemporal analysis of a network of 21 Scots pine (Pinus sylvestris) ring-width chronologies in northern Fennoscandia by means of chronology statistics and multivariate analyses. Chronologies are located on both sides (western and eastern) of the Scandes Mountains (67 degrees N-70 degrees N, 15 degrees E-29 degrees E). Growth relationships with temperature, precipitation, and North Atlantic Oscillation (NAO) indices were calculated for the period 1880-1991. We also assessed their temporal stability. Current July temperature and, to a lesser degree, May precipitation are the main growth limiting factors in the whole area of study. However, Principal Component Analysis (PCA) and mean interseries correlation revealed differences in radial growth between both sides of the Scandes Mountains, attributed to the Oceanic-Continental climatic gradient in the area. The gradient signal is temporally variable and has strengthened during the second half of the 20th century. Northern Fermoscandia Scots pine growth is positively related to early winter NAO indices previous to the growth season and to late spring NAO. NAO/growth relationships are unstable and have dropped in the second half of the 20th century. Moreover, they are noncontinuous through the range of NAO values: for early winter, only positive NAO indices enhance tree growth in the next growing season, while negative NAO does not. For spring, only negative NAO is correlated with radial growth.</t>
  </si>
  <si>
    <t>Univ Helsinki, Dept Geol, Div Geol &amp; Palaeontol, FIN-00014 Helsinki, Finland; Rovaniemi Res Stn, Finnish Forest Inst, Rovaniemi 96300, Finland; Univ Barcelona, Dept Ecol, E-08028 Barcelona, Spain; Univ Tromso, Dept Biol, Tromso, Norway; Univ Joensuu, Fac Nat Sci, Dept Biol, FIN-80101 Joensuu, Finland</t>
  </si>
  <si>
    <t>University of Helsinki; Natural Resources Institute Finland (Luke); University of Barcelona; UiT The Arctic University of Tromso; University of Eastern Finland</t>
  </si>
  <si>
    <t>Univ Helsinki, Dept Geol, Div Geol &amp; Palaeontol, FIN-00014 Helsinki, Finland.</t>
  </si>
  <si>
    <t>marc.macias@helsinki.fi</t>
  </si>
  <si>
    <t>Macias-Fauria, Marc/A-4591-2009; Gutierrez, Emilia/O-7568-2014</t>
  </si>
  <si>
    <t>Gutierrez, Emilia/0000-0002-6085-5700; Kirchhefer, Andreas Joachim/0000-0002-8647-6645; Macias-Fauria, Marc/0000-0002-8438-2223</t>
  </si>
  <si>
    <t>10.1657/1523-0430(2004)036[0565:GVOSPP]2.0.CO;2</t>
  </si>
  <si>
    <t>WOS:000227702800023</t>
  </si>
  <si>
    <t>Klok, EJ; Oerlemans, J</t>
  </si>
  <si>
    <t>Climate reconstructions derived from global glacier length records</t>
  </si>
  <si>
    <t>SOFIYSKIY GLACIER; ALTAI MOUNTAINS; MASS-BALANCE; RETREAT; FLUCTUATIONS; WASHINGTON; BEHAVIOR; USA</t>
  </si>
  <si>
    <t>As glacier length fluctuations provide useful information about past climate, we derived historic fluctuations in the equilibrium-line altitude (ELA) on the basis of 19 glacier length records from different parts of the world. We used a model that takes into account the geometry of the glacier, the length response time and the mass balance-surface height feedback. The results show that all glaciers of the data set experienced an increase in the ELA between 1900 and 1960. Between 1910 and 1959, the average increase was 33 +/- 8 m. This implies that during the first half of the 20th century, the climate was warmer or drier than before. The ELAs decreased to lower elevations after around 1960 up to 1980, when most of the ELA reconstructions end. These results can be translated into an average temperature increase of 0.8 +/- 0.2 K and a global sea-level rise of about 0.3 mm a(-1) for the period 1910-1959.</t>
  </si>
  <si>
    <t>Univ Utrecht, Inst Marine &amp; Atmospher Res, NL-3584 CC Utrecht, Netherlands</t>
  </si>
  <si>
    <t>Utrecht University</t>
  </si>
  <si>
    <t>Univ Utrecht, Inst Marine &amp; Atmospher Res, Princetonpl 5, NL-3584 CC Utrecht, Netherlands.</t>
  </si>
  <si>
    <t>E.J.Klok@phys.uu.nl</t>
  </si>
  <si>
    <t>Oerlemans, Johannes/G-3802-2011</t>
  </si>
  <si>
    <t>10.1657/1523-0430(2004)036[0575:CRDFGG]2.0.CO;2</t>
  </si>
  <si>
    <t>Green Submitted, Bronze, Green Published</t>
  </si>
  <si>
    <t>WOS:000227702800024</t>
  </si>
  <si>
    <t>Vincke, S; van de Vijver, B; Mattheeussen, R; Beyens, L</t>
  </si>
  <si>
    <t>Freshwater testate amoebae communities from Ile de la Possession, Crozet Archipelago, Subantarctica</t>
  </si>
  <si>
    <t>BRITISH-COLUMBIA CANADA; DIATOM COMMUNITIES; AQUATIC HABITATS; SUB-ANTARCTICA; SOUTH-GEORGIA; SUPPLEMENT; MONOGRAPH; MOISTURE; FAUNA; LAKES</t>
  </si>
  <si>
    <t>An ecological study of the freshwater testate amoebae (Protozoa, Rhizopoda) on the subantarctic island he de la Possession (Crozet Archipelago) revealed 85 taxa, belonging to 21 genera. Twenty-two taxa belonged to the genus Difflugia, typical for freshwater habitats whereas the genus Trinema showed the highest relative abundance. A cluster analysis revealed two communities: a Difflugiella crenulata assemblage and a Trinema lineare-T. enchelys assemblage. These communities, together with the results of a RDA analysis, represented a clear geographical separation on the island. The Difflugiella crenulata assemblage typified locations, with a high specific conductance and neutral to alkaline pH values, on the western part of the island. Aquatic habitats in the larger valleys on the eastern side of Ile de la Possession, with a low conductivity and slightly acid pH values, were characterized by the Trinema assemblage. Weighted averaging and calibration were used to develop a statistical transfer function to infer the pH of freshwater bodies from the testate amoebae assemblages. The model is usable over a pH range of 5 to 9.</t>
  </si>
  <si>
    <t>Univ Antwerp, Dept Biol, Unit Polar Ecol Limnol &amp; Paleobiol, B-2020 Antwerp, Belgium</t>
  </si>
  <si>
    <t>University of Antwerp</t>
  </si>
  <si>
    <t>Vincke, S (corresponding author), Univ Antwerp, Dept Biol, Unit Polar Ecol Limnol &amp; Paleobiol, Campus Middelheim,Groenenborgerlaan 171, B-2020 Antwerp, Belgium.</t>
  </si>
  <si>
    <t>sofie.vincke@ua.ac.be</t>
  </si>
  <si>
    <t>10.1657/1523-0430(2004)036[0584:FTACFL]2.0.CO;2</t>
  </si>
  <si>
    <t>WOS:000227702800025</t>
  </si>
  <si>
    <t>Dietz, H; von Arx, G; Dietz, S</t>
  </si>
  <si>
    <t>Growth increment patterns in the roots of two alpine forbs growing in the center and at the periphery of a snowbank</t>
  </si>
  <si>
    <t>ANNUAL RINGS; VEGETATION; COLORADO; TUNDRA; USA; PRODUCTIVITY; COMMUNITIES; DISTURBANCE; GRADIENT; ALASKA</t>
  </si>
  <si>
    <t>Snowbanks are characteristic for many alpine areas and add considerably to the great variability of growth conditions in high mountain systems. We studied the long-term (5- to 9-yr) growth response of two alpine forbs, Pedicularis recutita and Cirsium spinosissimum, to the environmental conditions in the center and at the periphery of a snowbank in the Swiss Alps. For that we analyzed the growth increments (annual rings) in the roots or rhizomes of the plants. While for both species there were no considerable size differences (number of shoots) between individuals growing in the center of the snowbank and those at the periphery, the growth patterns differed depending on species, temporal variations in growth conditions, and growth position. There were synchronous fluctuations in the width of the annual growth increments that were more pronounced in C. spinosissimum than in P. recutita and were restricted to plants growing in the center of the snowbank. These were apparently related to interannual variations in climatic conditions. In addition, C. spinosissimum plants growing at the periphery of the snowbank showed initially wide but strongly declining growth increments whereas plants growing in the center of the snowbank showed initially narrower but relatively stable growth increments. These patterns were only weakly reflected in P. recutita. Our results suggest that effects of climatic fluctuations on plant growth can be amplified in snowbanks and that there may be favorable growth conditions initially at the periphery of the snowbank that are compensated for in the center of the snowbank, in the long run, by continuously low-competition growth conditions.</t>
  </si>
  <si>
    <t>Swiss Fed Inst Technol, ETH, Geobot Inst, CH-8044 Zurich, Switzerland</t>
  </si>
  <si>
    <t>Swiss Federal Institutes of Technology Domain; ETH Zurich</t>
  </si>
  <si>
    <t>Dietz, H (corresponding author), Swiss Fed Inst Technol, ETH, Geobot Inst, Zurichbergstr 38, CH-8044 Zurich, Switzerland.</t>
  </si>
  <si>
    <t>hansjoerg.dietz@env.ethz.ch</t>
  </si>
  <si>
    <t>von Arx, Georg/E-1785-2012; Dietz, Simon/AAX-9362-2020</t>
  </si>
  <si>
    <t>von Arx, Georg/0000-0002-8566-4599; Dietz, Simon/0000-0001-5002-018X</t>
  </si>
  <si>
    <t>10.1657/1523-0430(2004)036[0591:GIPITR]2.0.CO;2</t>
  </si>
  <si>
    <t>WOS:000227702800026</t>
  </si>
  <si>
    <t>Lewis, D; Smith, D</t>
  </si>
  <si>
    <t>Dendrochronological mass balance reconstruction, Strathcona Provincial Park, Vancouver Island, British Columbia, Canada</t>
  </si>
  <si>
    <t>TREE-RING; CLIMATIC VARIABILITY; ATMOSPHERIC CIRCULATION; GLACIAL FLUCTUATIONS; DECADAL VARIABILITY; WASHINGTON; MOUNTAIN; GROWTH; SNOWPACK; RESPONSES</t>
  </si>
  <si>
    <t>A long-term proxy record of glacier mass balance was developed for Colonel Foster and Septimus glaciers on Vancouver Island, British Columbia, Canada. This was accomplished by analyzing the radial growth characteristics of climatically-sensitive mountain hemlock trees (Tsuga mertensiana), and by comparing this response with mass balance records from four glaciers in the Pacific Northwest. A strong (negative) relationship between the two records for the period 1966-1994 provides the basis for a mass balance reconstruction extending back to 1600. The reconstruction is in general agreement with information derived from dated moraine sequences at the two glaciers on Vancouver Island, and it has potential applicability to glaciers in adjacent areas of coastal Pacific North America. Our results highlight the likely influence of the Pacific Decadal Oscillation (PDO) on glacier dynamics during the mid- to late-Little Ice Age (LIA) and provide the groundwork for long-term glaciohydrologic studies.</t>
  </si>
  <si>
    <t>Univ Victoria, Dept Geog, Univ Victoria Tree Ring Lab, Victoria, BC V8W 3P5, Canada</t>
  </si>
  <si>
    <t>Univ Victoria, Dept Geog, Univ Victoria Tree Ring Lab, Victoria, BC V8W 3P5, Canada.</t>
  </si>
  <si>
    <t>dave@uvtrl.geog.uvic.ca; smith@uvic.ca</t>
  </si>
  <si>
    <t>10.1657/1523-0430(2004)036[0598:DMBRSP]2.0.CO;2</t>
  </si>
  <si>
    <t>WOS:000227702800027</t>
  </si>
  <si>
    <t>Seppä, H; Hannon, GE; Bradshaw, RHW</t>
  </si>
  <si>
    <t>Holocene history of alpine vegetation and forestline on Pyhakero mountain, northern Finland</t>
  </si>
  <si>
    <t>TREE-LINE AREA; KOLA-PENINSULA; CLIMATE RECONSTRUCTIONS; POSTGLACIAL CLIMATE; SWEDISH SCANDES; AGE CALIBRATION; WESTERN NORWAY; PICEA-ABIES; SCOTS PINE; POLLEN</t>
  </si>
  <si>
    <t>Paleoecological analyses were carried out from two sediment cores from lake sites at the alpine treeline on Pyhakero mountain, the northernmost peak of an isolated mountain range, Pallastunturi-Ounastunturi, south of the polar forestline in western Finnish Lapland. Plant macrofossils, supported by pollen data, show presence of pine (Pinus sylvestris) and birch (Betula pubescens) on the top of the mountain from 9500 cal yr BP (birch) and 8300 cal yr BP (pine) up to 2000 cal yr BP (pine) and 1500 cal yr BP (birch). However, the major floristic elements of the modem alpine vegetation, as evidenced by plant macrofossils of a number of typical alpine taxa, including Salix cf. polaris, show persistence through the warmer periods of the Holocene, and indicate that the scattered pine-birch forest never completely replaced the low-alpine plant communities. The current low-alpine vegetation on the mountain top has therefore long continuity from the time of regional deglaciation. Dispersal of these alpine species took place primarily during the deglaciation phase and it is unnecessary to invoke dispersal of the arctic-alpine plants from the arctic regions of Fennoscandia during the mid- or late-Holocene to explain the origin of the alpine flora of the mountain range.</t>
  </si>
  <si>
    <t>Dept Geol, FIN-00014 Helsinki, Finland; So Swedish Forest Res Ctr, S-23053 Alnarp, Sweden; Geol Survey Denmark &amp; Greenland, DK-1350 Copenhagen, Denmark</t>
  </si>
  <si>
    <t>Geological Survey Of Denmark &amp; Greenland</t>
  </si>
  <si>
    <t>Seppä, H (corresponding author), Dept Geol, POB 64, FIN-00014 Helsinki, Finland.</t>
  </si>
  <si>
    <t>heikki.seppa@helsinki.fi</t>
  </si>
  <si>
    <t>Bradshaw, Richard/H-8663-2013</t>
  </si>
  <si>
    <t>Bradshaw, Richard/0000-0002-7331-2246</t>
  </si>
  <si>
    <t>10.1657/1523-0430(2004)036[0607:HHOAVA]2.0.CO;2</t>
  </si>
  <si>
    <t>WOS:000227702800028</t>
  </si>
  <si>
    <t>Kokelj, SV; Burn, CR</t>
  </si>
  <si>
    <t>Tilt of spruce trees near ice wedges, Mackenzie Delta, northwest territories, Canada</t>
  </si>
  <si>
    <t>WESTERN ARCTIC COAST; GARRY-ISLAND; EVOLUTION; RECOVERY; CRACKING; FORESTS</t>
  </si>
  <si>
    <t>Ice wedges are common in the Mackenzie Delta, although troughs may be filled by sediments and obscured by growth of vegetation. At four sites in eastern Mackenzie Delta, over 85% of the trees within I m of ice-wedge troughs leaned towards these troughs. The mean angle of lean was 12 degrees from the vertical, with some trees leaning by more than 25 degrees. The angle of tree tilt varied inversely with distance from the ice-wedge trough and most of the trees over 1 m from an adjacent trough leaned away from the ice-wed e. Trees near the troughs are susceptible to toppling because their root systems trail away from the troughs. Reaction-wood rings in cross-sectional disks from trees leaning towards troughs indicated that progressive tilting has been sustained for decades to centuries. Long-term rates of tree tilting are estimated to be between 0.1 and 0.4 degrees a(-1). Progressive, unidirectional tilting may eventually destroy the spruce trees. In Mackenzie Delta, where forest fire is infrequent, earth movements associated with ice-wedge polygons may be one mechanism driving forest change in old-growth stands.</t>
  </si>
  <si>
    <t>Carleton Univ, Dept Geog &amp; Environm Studies, Ottawa, ON K1S 5B6, Canada</t>
  </si>
  <si>
    <t>Carleton University</t>
  </si>
  <si>
    <t>Indian &amp; No Affairs Canada, Div Water Resources, 3rd Floor Bellanca Bldg,POB 1500, Yellowknife, NT X1A 2R3, Canada.</t>
  </si>
  <si>
    <t>kokeljsv@inac.gc.ca</t>
  </si>
  <si>
    <t>10.1657/1523-0430(2004)036[0615:TOSTNI]2.0.CO;2</t>
  </si>
  <si>
    <t>WOS:000227702800029</t>
  </si>
  <si>
    <t>Kumke, T; Kienel, U; Weckström, J; Korhola, A; Hubberten, HW</t>
  </si>
  <si>
    <t>Inferred Holocene paleotemperatures from diatoms at Lake Lama, Central Siberia</t>
  </si>
  <si>
    <t>LOWER LENA RIVER; QUANTITATIVE INDICATORS; ENVIRONMENTAL-CHANGES; WATER TEMPERATURE; TAYMYR PENINSULA; AIR TEMPERATURES; LATE PLEISTOCENE; KOLA-PENINSULA; FOSSIL POLLEN; CLIMATE</t>
  </si>
  <si>
    <t>Variations of the diatom distribution in a lake sediment core of Lake Lama, Central Siberia, were used to reconstruct paleotemperatures during the Holocene. The changes of the diatom assemblages revealed a strong association to climatic changes during this period. A transfer function based on weighted averaging partial least squares regression (WA-PLS), derived from a calibration dataset from northwestern Finnish Lapland, was used to infer July air temperatures for the area around Lake Lama. The prediction accuracy of the diatom-temperature model was 0.89 degrees C. The analysis of the modem vs. core assemblages showed the suitability of the model for the lake sediment core. The reconstruction yielded a rapid increase in temperature at the beginning of the early Holocene. There was a period between 8000 and 6500 cal. yr BP with slightly higher temperatures, which were assigned to the Holocene thermal optimum (Hypsithermal), followed by a short and distinct temperature decrease. The period between 4000 and 2800 cal. yr BP again revealed higher temperatures. The inferred temperatures are consistent in their trends with a pollen-based paleotemperature reconstruction of the same core. The range of the diatom-based temperatures was 1.6 degrees C, which is low compared to that of the pollen-based temperatures. This discrepancy may be explained by over- and underestimation of temperatures at the edges of the temperature range by our diatom-based model, and by the large size of this water body which could have moderated the response of diatoms to the temperature signal. The inferred temperature trends from the diatom assemblages at Lake Lama show the potential of aquatic organisms for paleoclimatic reconstructions. This is one of the very few quantitative paleoclimate reconstructions in arctic Russia. Previous research was limited mainly due to the lack of available calibration datasets. Our results also imply that, although this lack might be a drawback, an ecologically sound and reliable reconstruction is still possible and needs to be carried out in other parts of the arctic regions in order to obtain a more detailed knowledge about past regional climate and environmental changes.</t>
  </si>
  <si>
    <t>Alfred Wegener Inst Polar &amp; Marine Res, Res Dept Potsdam, D-14473 Potsdam, Germany; Geoforschungszentrum Potsdam, D-14473 Potsdam, Germany; Univ Helsinki, Dept Systemat &amp; Ecol, FIN-00014 Helsinki, Finland</t>
  </si>
  <si>
    <t>Helmholtz Association; Alfred Wegener Institute, Helmholtz Centre for Polar &amp; Marine Research; Helmholtz Association; Helmholtz-Center Potsdam GFZ German Research Center for Geosciences; University of Helsinki</t>
  </si>
  <si>
    <t>Alfred Wegener Inst Polar &amp; Marine Res, Res Dept Potsdam, Telegrafenberg A43, D-14473 Potsdam, Germany.</t>
  </si>
  <si>
    <t>tkumke@awi-potsdam.de</t>
  </si>
  <si>
    <t>Weckström, Jan/N-7665-2013</t>
  </si>
  <si>
    <t>Weckström, Jan/0000-0001-5604-617X; Korhola, Atte A./0000-0003-2577-6502</t>
  </si>
  <si>
    <t>10.1657/1523-0430(2004)036[0624:IHPFDA]2.0.CO;2</t>
  </si>
  <si>
    <t>WOS:000227702800030</t>
  </si>
  <si>
    <t>Palinkas, LA; Johnson, JC; Boster, JS; Rakusa-Suszczewski, S; Klopov, VP; Fu, XQ; Sachdeva, U</t>
  </si>
  <si>
    <t>Cross-cultural differences in psychosocial adaptation to isolated and confined environments</t>
  </si>
  <si>
    <t>AVIATION SPACE AND ENVIRONMENTAL MEDICINE</t>
  </si>
  <si>
    <t>multinational crews; mood; social support; Antarctica; extreme environments</t>
  </si>
  <si>
    <t>DEPRESSIVE SYMPTOMS; SOCIAL SUPPORT; ANTARCTICA; STRESS; WINTER; PERFORMANCE; BEHAVIOR; ISSUES; MOOD</t>
  </si>
  <si>
    <t>Introduction: Differences in patterns of psychosocial adaptation under conditions of prolonged isolation and confinement in Antarctica were examined to determine the extent to which they were influenced by national culture in general and the individualist-collectivist orientation of national cultures in particular. Methods: The Profile of Mood States and measures of structural and functional social support were administered over an 8-mo period (March through October) to 13 winter-over crews from 5 nations operating research stations in the Antarctic: United States (3 crews, n = 77), Poland (3 crews, n = 40), Russia (3 crews, n = 34), China (3 crews, n = 40), and India (1 crew, n = 26). Results: Americans at South Pole Station reported significant increases in fatigue and anxiety and a significant decrease in vigor over the winter. During the same period, Russians at Vostok Station reported significant decreases in depression, anxiety, and confusion, and Indians at Maitri Station reported a significant decrease in anger. A significant decrease in social interaction with fellow crewmembers occurred at South Pole Station, Vostok Station, and Poland's Arctowski Station. Several differences were also observed between the five stations in correlations between mood scores and measures of structural and functional social support. An individualistic cultural orientation was significantly associated with low social support and low negative mood. Conclusion: Cultural background is associated with mood and social support as well as changes in these measures during the austral winter. Cultural differences in patterns of psychosocial adaptation must be considered in the formation and training of multinational crews for long duration missions in space.</t>
  </si>
  <si>
    <t>Univ Calif San Diego, Dept Family &amp; Prevent Med, La Jolla, CA 92093 USA; E Carolina Univ, Inst Coastal &amp; Marine Studies, Greenville, NC USA; Univ Connecticut, Dept Anthropol, Storrs, CT USA; Polish Acad Sci, Dept Antarct Biol, Warsaw, Poland; Polar Univ, Dept Social Ecol, St Petersburg, Russia; Peking Univ, Inst Basic Med Sci, Chinese Acad Sci, Beijing 100871, Peoples R China; Arabian Gulf Univ, Dept Physiol, Manama, Bahrain</t>
  </si>
  <si>
    <t>University of California System; University of California San Diego; University of North Carolina; East Carolina University; University of Connecticut; Polish Academy of Sciences; Chinese Academy of Sciences; Peking University; Institute of Basic Medical Sciences - CAMS; Arabian Gulf University</t>
  </si>
  <si>
    <t>Palinkas, LA (corresponding author), Univ Calif San Diego, Dept Family &amp; Prevent Med, 9500 Gilman Dr, La Jolla, CA 92093 USA.</t>
  </si>
  <si>
    <t>lpalinkas@ucsd.edu</t>
  </si>
  <si>
    <t>AEROSPACE MEDICAL ASSOC</t>
  </si>
  <si>
    <t>320 S HENRY ST, ALEXANDRIA, VA 22314-3579 USA</t>
  </si>
  <si>
    <t>0095-6562</t>
  </si>
  <si>
    <t>AVIAT SPACE ENVIR MD</t>
  </si>
  <si>
    <t>Aviat. Space Environ. Med.</t>
  </si>
  <si>
    <t>Public, Environmental &amp; Occupational Health; Medicine, General &amp; Internal; Sport Sciences</t>
  </si>
  <si>
    <t>Science Citation Index Expanded (SCI-EXPANDED); Social Science Citation Index (SSCI)</t>
  </si>
  <si>
    <t>Public, Environmental &amp; Occupational Health; General &amp; Internal Medicine; Sport Sciences</t>
  </si>
  <si>
    <t>866ZL</t>
  </si>
  <si>
    <t>WOS:000224811800008</t>
  </si>
  <si>
    <t>Beggs, PJ; Selkirk, PM; Kingdom, DL</t>
  </si>
  <si>
    <t>Identification of Von Karman vortices in the surface winds of Heard Island</t>
  </si>
  <si>
    <t>BOUNDARY-LAYER METEOROLOGY</t>
  </si>
  <si>
    <t>Heard Island; Sub-Antarctic; surface; topography; Von Karman vortices; wind</t>
  </si>
  <si>
    <t>FLOW</t>
  </si>
  <si>
    <t>Heard Island (73degrees30' E, 53degrees05' S) is an isolated island in the sub-Antarctic located in a region of strong westerly winds. The dominant topographic feature is a large glaciated volcano, which peaks at 2,745 m in altitude. Only limited meteorological information exists for the island, with incomplete records from a station at Atlas Cove covering the period 1948 to 1954, and from a station at The Spit from 1992 onwards. We present the results of wind observations that were conducted on Dovers Moraine at the eastern end of Heard Island over the 2000/2001 summer, with the aim of characterising local winds at this location on the island. Wind was measured using a Woelfle type mechanical wind recorder. Wind speed was comparable, and on occasions stronger, at this location compared to simultaneous records at the western end of the island. Winds were predominantly from the south-south-west, or north-north-west to north. A number of periods of relatively low wind speed coincided with repeated wind direction patterns, which we associate with the surface signature of von Karman vortices. Results from this study suggest there are significant topographically-generated differences in wind characteristics between the eastern and western ends of the island.</t>
  </si>
  <si>
    <t>Macquarie Univ, Dept Phys Geog, Sydney, NSW 2109, Australia; Macquarie Univ, Dept Biol Sci, Sydney, NSW 2109, Australia</t>
  </si>
  <si>
    <t>Macquarie University; Macquarie University</t>
  </si>
  <si>
    <t>Macquarie Univ, Dept Phys Geog, Sydney, NSW 2109, Australia.</t>
  </si>
  <si>
    <t>paul.beggs@mq.edu.au</t>
  </si>
  <si>
    <t>Beggs, Paul/0000-0001-9949-1783</t>
  </si>
  <si>
    <t>0006-8314</t>
  </si>
  <si>
    <t>1573-1472</t>
  </si>
  <si>
    <t>BOUND-LAY METEOROL</t>
  </si>
  <si>
    <t>Bound.-Layer Meteor.</t>
  </si>
  <si>
    <t>10.1023/B:BOUN.0000039370.69708.f6</t>
  </si>
  <si>
    <t>849CF</t>
  </si>
  <si>
    <t>WOS:000223515600007</t>
  </si>
  <si>
    <t>Snape, I; Scouller, RC; Stark, SC; Stark, J; Riddle, MJ; Gore, DB</t>
  </si>
  <si>
    <t>Characterisation of the dilute HCl extraction method for the identification of metal contamination in Antarctic marine sediments</t>
  </si>
  <si>
    <t>CHEMOSPHERE</t>
  </si>
  <si>
    <t>MESS; PACS; kinetics; multivariate analysis; bioavailable metals</t>
  </si>
  <si>
    <t>ACID-VOLATILE SULFIDE; HEAVY-METALS; TRACE-METALS; POLLUTION; TOXICITY; KINETICS; BEHAVIOR; STATION; DGT</t>
  </si>
  <si>
    <t>A regional survey of potential contaminants in marine or estuarine sediments is often one of the first steps in a post-disturbance environmental impact assessment. Of the many different chemical extraction or digestion procedures that have been proposed to quantify metal contamination, partial acid extractions are probably the best overall compromise between selectivity, sensitivity, precision, cost and expediency. The extent to which measured metal concentrations relate to the anthropogenic fraction that is bioavailable is contentious, but is one of the desired outcomes of an assessment or prediction of biological impact. As part of a regional survey of metal contamination associated with Australia's past waste management activities in Antarctica, we wanted to identify an acid type and extraction protocol that would allow a reasonable definition of the anthropogenic bioavailable fraction for a large number of samples. From a kinetic study of the 1 M HCl extraction of two Certified Reference Materials (MESS-2 and PACS-2) and two Antarctic marine sediments, we concluded that a 4 h extraction time allows the equilibrium dissolution of relatively labile metal contaminants, but does not favour the extraction of natural geogenic metals. In a regional survey of 88 marine samples from the Casey Station area of East Antarctica, the 4 It extraction procedure correlated best with biological data, and most clearly identified those sediments thought to be contaminated by runoff from abandoned waste disposal sites. Most importantly the 4 It extraction provided better definition of the low to moderately contaminated locations by picking up small differences in anthropogenic metal concentrations. For the purposes of inter-regional comparison, we recommend a 4 h 1 M HCl acid extraction as a standard method for assessing metal contamination in Antarctica. Crown Copyright (C) 2004 Published by Elsevier Ltd. All rights reserved.</t>
  </si>
  <si>
    <t>Australian Antarctic Div, Kingston, Tas 7050, Australia; Macquarie Univ, Dept Phys Geog, Sydney, NSW 2109, Australia</t>
  </si>
  <si>
    <t>Australian Antarctic Division; Macquarie University</t>
  </si>
  <si>
    <t>Australian Antarctic Div, 203 Channel Highway, Kingston, Tas 7050, Australia.</t>
  </si>
  <si>
    <t>ian.snape@aad.gov.au</t>
  </si>
  <si>
    <t>Stark, Jonathan/ABF-4025-2020</t>
  </si>
  <si>
    <t>Stark, Jonathan/0000-0002-4268-8072; Gore, Damian/0000-0002-0377-8518</t>
  </si>
  <si>
    <t>0045-6535</t>
  </si>
  <si>
    <t>1879-1298</t>
  </si>
  <si>
    <t>Chemosphere</t>
  </si>
  <si>
    <t>10.1016/j.chemosphere.2004.05.042</t>
  </si>
  <si>
    <t>Environmental Sciences</t>
  </si>
  <si>
    <t>855SP</t>
  </si>
  <si>
    <t>WOS:000223994300008</t>
  </si>
  <si>
    <t>Aristarain, AJ; Delmas, RJ; Stievenard, M</t>
  </si>
  <si>
    <t>Ice-core study of the link between sea-salt aerosol, sea-ice cover and climate in the Antarctic Peninsula area</t>
  </si>
  <si>
    <t>CLIMATIC CHANGE</t>
  </si>
  <si>
    <t>ISOTOPE RECORD; SNOW CHEMISTRY; SOUTHERN-OCEAN; WEDDELL SEA; TEMPERATURE; VARIABILITY; ISLAND; STATION; EXTENT; AIR</t>
  </si>
  <si>
    <t>Three ice cores and a set of snow pit samples collected on James Ross Island, Antarctic Peninsula, in 1979, 1981 and 1991 have been analyzed for water stable isotope content deltaD or delta(18)O (isotopic temperature) and major chemical species. A reliable and detailed chronological scale has been established first for the upper 24.5 m of water equivalent (1990-1943) where various data sets can be compared, then extended down to 59.5 m of water equivalent (1847) with the aid of seasonal variations and the sulphate peak reflecting the 1883 Krakatoa volcanic eruption. At James Ross Island, sea-salt aerosol is generally produced by ice-free marine surfaces during the summer months, although some winter sea-salt events have been observed. For the upper part of the core (1990-1943), correlations (positive or negative) were calculated between isotopic temperature, chloride content (a sea-salt indicator), sea-ice extent, regional atmospheric temperature changes and atmospheric circulation. The deltaD and chloride content correlation was then extended back to 1847, making it possible to estimate decadal sea-ice cover fluctuations over the study period. Our findings suggest that ice-core records from James Ross Island reflect the recent warming and sea-ice decrease trends observed in the Antarctic Peninsula area from the mid-1940s.</t>
  </si>
  <si>
    <t>CRICYT, Lab Estratigrafia Glaciar &amp; Geoquim Agua Nieve, RA-5500 Mendoza, Argentina; Ctr Natl Rech Sci, Lab Glaciol &amp; Geophys Environm, F-38402 St Martin Dheres, France; Ctr Etud Saclay, LSCE, F-91191 Gif Sur Yvette, France</t>
  </si>
  <si>
    <t>Consejo Nacional de Investigaciones Cientificas y Tecnicas (CONICET); Centre National de la Recherche Scientifique (CNRS); CEA; Centre National de la Recherche Scientifique (CNRS); Universite Paris Saclay</t>
  </si>
  <si>
    <t>Aristarain, AJ (corresponding author), CRICYT, Lab Estratigrafia Glaciar &amp; Geoquim Agua Nieve, CC 131,Dr A Ruiz Leal S-N,Pque Gral San Martin, RA-5500 Mendoza, Argentina.</t>
  </si>
  <si>
    <t>aristar@lab.cricyt.edu.ar</t>
  </si>
  <si>
    <t>0165-0009</t>
  </si>
  <si>
    <t>Clim. Change</t>
  </si>
  <si>
    <t>10.1007/s10584-004-0708-6</t>
  </si>
  <si>
    <t>890NH</t>
  </si>
  <si>
    <t>WOS:000226517600005</t>
  </si>
  <si>
    <t>Ferguson, SH; Woinarski, AZ; Snape, I; Morris, CE; Revill, AT</t>
  </si>
  <si>
    <t>A field trial of in situ chemical oxidation to remediate long-terin diesel contaminated Antarctic soil</t>
  </si>
  <si>
    <t>Fenton reagent; fuel spill remediation; NaHOCl; Fenton-like process; bacteria</t>
  </si>
  <si>
    <t>FENTONS REAGENT; HYDROGEN-PEROXIDE; CONDITION OPTIMIZATION; EAST ANTARCTICA; CRUDE-OIL; DEGRADATION; PETROLEUM; MINERALIZATION; BIOREMEDIATION; SPILLS</t>
  </si>
  <si>
    <t>In situ chemical oxidation (ICO) has been identified as a potential technology for the remediation of petroleum hydrocarbon contaminated sites in Antarctica. ICO involves introducing reactive chemicals to contaminated soils so that organics such as petroleum hydrocarbons are oxidised to environmentally innocuous compounds. This paper details two field trials that were undertaken to evaluate the feasibility of using a surface application of these oxidative treatments (Fenton's reagent, hydrogen peroxide and sodium hypochlorite) to remediate petroleum contaminated soil at Old Casey Station, East Antarctica. Results show that the ICO technology used at this site, where contamination occurred over a decade ago, did not significantly reduce petroleum hydrocarbon concentrations and would likely hinder biodegradation through the destruction of subsurface microbial communities. Further treatment testing and optimisation is required before ICO would be an effective remediation strategy for petroleum contaminated sites in Antarctica. However, the near complete destruction of subsurface microbiota, coupled with a discoloured orange soil residue and soil heating, mean that other more environmentally sensitive techniques such as bioremediation are our preferred treatment methodology. (C) 2004 Published by Elsevier B.V.</t>
  </si>
  <si>
    <t>Australian Antarctic Div, Kingston, Tas 7050, Australia; Univ Tasmania, Hobart, Tas 7001, Australia; Univ Melbourne, Dept Chem Engn, Melbourne, Vic 3010, Australia; Raytheon Polar Serv Co, Centennial, CO USA; CSIRO, Marine Res, Hobart, Tas 7001, Australia</t>
  </si>
  <si>
    <t>Australian Antarctic Division; University of Tasmania; University of Melbourne; Melbourne Bioinformatics; Commonwealth Scientific &amp; Industrial Research Organisation (CSIRO)</t>
  </si>
  <si>
    <t>Ferguson, SH (corresponding author), Australian Antarctic Div, Channel Highway, Kingston, Tas 7050, Australia.</t>
  </si>
  <si>
    <t>Susan.Ferguson@aad.gov.au</t>
  </si>
  <si>
    <t>Revill, Andrew/B-8733-2011</t>
  </si>
  <si>
    <t>Revill, Andrew/0000-0003-2486-5976</t>
  </si>
  <si>
    <t>10.1016/j.coldregions.2004.05.008</t>
  </si>
  <si>
    <t>871SY</t>
  </si>
  <si>
    <t>WOS:000225155000005</t>
  </si>
  <si>
    <t>Delille, D; Coulon, F; Pelletier, E</t>
  </si>
  <si>
    <t>Effects of temperature warming during a bioremediation study of natural and nutrient-amended hydrocarbon-contaminated sub-Antarctic soils</t>
  </si>
  <si>
    <t>temperature; soil petroleum hydrocarbon; bioremediation; Antarctica</t>
  </si>
  <si>
    <t>CRUDE-OIL; DIESEL-OIL; PETROLEUM-HYDROCARBONS; MICROBIAL-DEGRADATION; VESTFOLD HILLS; SOUTHERN-OCEAN; ALPINE SOILS; ARCTIC SOILS; MICROORGANISMS; BACTERIA</t>
  </si>
  <si>
    <t>Although petroleum contamination is recognized as a significant threat to polar environments, documented research on the environmental consequences of terrestrial spills in cold regions is still scarce. Full-scale in situ remediation of petroleum-contaminated soils has not yet been used in Antarctica, partly because it has long been assumed that air and soil temperatures are too low for an effective biodegradation. To test this assumption, the effects of temperature on the hydrocarbon mineralization rate have been quantified during a field pilot study carried out on artificially contaminated sub-Antarctic soils. The field study was initiated in December 2000 on two selected soils of the Grande Terre (Kerguelen Archipelago, 69degrees42'E-49degrees19'S). The first site supported an abundant vegetal cover, while the second one was a desert soil exempt of plant material. Two series of five experimental plots (0.75 x 0.75 m) were settled firmly into each of the studied soils. Each plot received 500 ml of diesel fuel or Arabian light crude oil, and half of them were covered with a black plastic sheet. All the plots were sampled on a regular basis over a 2-year period. Under natural sub-Antarctic conditions, the field tests revealed that up to 95% of total hydrocarbons were degraded within 1 year, indicating that low temperatures (0-7degreesC) can still allow oil biodegradation by indigenous microorganisms. Soil coverage induced a small but permanent increase of the temperature in the surface soil of 2degreesC (annual mean) and favored the degradation of alkanes over aromatics. The present observations increase the number of possible scenarios involving controlled temperature design and effects in future in situ bioremediation strategies in sub-Antarctic soils. (C) 2004 Elsevier B.V. All rights reserved.</t>
  </si>
  <si>
    <t>Univ Paris 06, CNRS, UMR 7621, Observ Oceanol Banyuls,Lab Arago, F-66650 Banyuls sur Mer, France; Univ Quebec, ISMER, Rimouski, PQ G5L 3A1, Canada</t>
  </si>
  <si>
    <t>Centre National de la Recherche Scientifique (CNRS); CNRS - National Institute for Earth Sciences &amp; Astronomy (INSU); Sorbonne Universite; University of Quebec</t>
  </si>
  <si>
    <t>Delille, D (corresponding author), Univ Paris 06, CNRS, UMR 7621, Observ Oceanol Banyuls,Lab Arago, F-66650 Banyuls sur Mer, France.</t>
  </si>
  <si>
    <t>delille@obs-banyuls.fr</t>
  </si>
  <si>
    <t>Coulon, Frederic/B-3227-2009; Daniel, Delille/S-9542-2019</t>
  </si>
  <si>
    <t>Coulon, Frederic/0000-0002-4384-3222;</t>
  </si>
  <si>
    <t>10.1016/j.coldregions.2004.05.005</t>
  </si>
  <si>
    <t>WOS:000225155000006</t>
  </si>
  <si>
    <t>Borzotta, E; Trombotto, D</t>
  </si>
  <si>
    <t>Correlation between frozen ground thickness measured in Antarctica and permafrost thickness estimated on the basis of the heat flow obtained from magnetotelluric soundings</t>
  </si>
  <si>
    <t>permafrost; antarctica; heat flow; magnetotellurics</t>
  </si>
  <si>
    <t>SEYMOUR-ISLAND</t>
  </si>
  <si>
    <t>A comparative study of the results of vertical electrical soundings (VES) and magnetotelluric soundings (MTS) carried out at Seymour and James Ross Islands (NE of Antarctic Peninsula) is conducted. Frozen ground thickness, estimated by VES, is compared with permafrost thickness estimates, obtained using: (a) steady geothermal heat flow, inferred from the depths of conductive layers in the crust and upper mantle estimated by NITS, and (b) mean annual air temperatures (MAAT). At Seymour Island, 250 m of permafrost thickness, in equilibrium with an inferred heat flow of 72 mW/m(2) (corresponding to a geothermal gradient of 0.037degreesC/m) and with an MAAT of -9.4degreesC, is estimated for the upper terrace (about 200 m a.s.l.). This value is consistent with the frozen ground thickness (200 m in the upper terrace) previously estimated by VES. Magnetotelluric soundings carried out in the northwestern region of James Ross Island (volcanic island with recent activity) suggest a magma chamber with top at about 7 km depth in the crust. From the depth of this conductive body, a heat flow of 145 mW/m(2) and a geothermal gradient of 0.074degreesC/m are estimated, suggesting 67 m of permafrost thickness in the upper terraces (35 m a.s.l.) of this island in equilibrium with the estimated steady heat flow and an MAAT=-5degreesC. The frozen ground thickness estimated by VES lies between 40 and 45 m for the same terrace. The differences between frozen ground thickness and permafrost thickness in both islands could be attributed to a cryopeg, according to the high salinity beneath the frozen ground suggested by MT soundings. Although studies indicate that a climatic warming process is currently taking place in the Antarctic Peninsula, results of this study suggest that, until approximately 1980, the region had stable geological and paleoclimatic conditions during a lapse of time long enough to reach an approximately steady temperature profile in the subsoil. Around 2000 years are estimated for Seymour Island and 140 years for the northwestern region of James Ross Island as the minimum periods of time during which the soil surface was free of ice. The magma chamber, possibly located in the northwestern region of James Ross Island, could have an important role in controlling permafrost thickness, conductance below the frozen ground and deglaciation. (C) 2004 Elsevier B.V. All rights reserved.</t>
  </si>
  <si>
    <t>Consejo Nacl Invest Cient &amp; Tecn, IANIGLA, Unidad Geofis, RA-5500 Mendoza, Argentina; Consejo Nacl Invest Cient &amp; Tecn, IANIGLA, Unidad Geofis, RA-5500 Mendoza, Argentina</t>
  </si>
  <si>
    <t>University Nacional Cuyo Mendoza; Consejo Nacional de Investigaciones Cientificas y Tecnicas (CONICET); University Nacional Cuyo Mendoza; Consejo Nacional de Investigaciones Cientificas y Tecnicas (CONICET)</t>
  </si>
  <si>
    <t>Consejo Nacl Invest Cient &amp; Tecn, IANIGLA, Unidad Geofis, Casilla Correo 330, RA-5500 Mendoza, Argentina.</t>
  </si>
  <si>
    <t>eborzota@lab.cricyt.edu.ar</t>
  </si>
  <si>
    <t>10.1016/j.coldregions.2004.06.002</t>
  </si>
  <si>
    <t>WOS:000225155000008</t>
  </si>
  <si>
    <t>Somero, GN</t>
  </si>
  <si>
    <t>Adaptation of enzymes to temperature: searching for basic strategies</t>
  </si>
  <si>
    <t>COMPARATIVE BIOCHEMISTRY AND PHYSIOLOGY B-BIOCHEMISTRY &amp; MOLECULAR BIOLOGY</t>
  </si>
  <si>
    <t>acclimation; adaptation; alphastat regulation; lactate dehydrogenase; pH; temperature</t>
  </si>
  <si>
    <t>FISH TREMATOMUS BERNACCHII; LACTATE-DEHYDROGENASE; COLD ADAPTATION; TRIMETHYLAMINE OXIDE; LACTIC DEHYDROGENASES; HYDROSTATIC-PRESSURE; THERMAL-ACCLIMATION; ANTARCTIC FISHES; MOLECULAR-BASIS; KM VALUES</t>
  </si>
  <si>
    <t>The pervasive influence of temperature on biological systems necessitates a suite of temperature-compensatory adaptations that span all levels of biological organization-from behaviour to fine-scale molecular structure. Beginning about 50 years ago, physiological studies conducted with whole organisms or isolated tissues, by such pioneers of comparative thermal physiology as V Ya. Alexandrov, T.H. Bullock, F.E.J. Fry, H. Precht, C.L. Prosser, and RE Scholander, began to document in detail the abilities of ectothermic animals to sustain relatively similar rates of metabolic activity at widely different temperatures of adaptation or acclimation. These studies naturally led to investigation of the roles played by enzymatic proteins in metabolic temperature compensation. Peter Hochachka's laboratory became an epicenter of this new focus in comparative physiology. The studies of the enzyme lactate dehydrogenase (LDH) that he initiated as a PhD student at Duke University in the mid-1960s and continued for several years at the University of British Columbia laid much of the foundation for subsequent studies of protein adaptation to temperature. Studies of orthologs of LDH have revealed the importance of conserving kinetic properties (catalytic rate constants (K-cat) and Michaelis-Menten constants (K-m)) and structural stability during adaptation to temperature, and recently have identified the types of amino acid substitutions causing this adaptive variation. The roles of pH and low-molecular-mass organic solutes (osmolytes) in conserving, the functional and structural properties of enzymes also have been elucidated using LDH. These studies, begun in Peter Hochachka's laboratory almost 40 years ago, have been instrumental in the development of a conceptual framework for the study of biochemical adaptation, a field whose origin can be traced largely to his creative influences. This framework emphasizes the complementary roles of three strategies of adaptation: (1) changes in amino acid sequence that cause adaptive variation in the kinetic properties and stabilities of proteins, (2) shifts in concentrations of proteins, which are mediated through changes in gene expression and protein turnover; and (3) changes in the milieu in which proteins function, which conserve the intrinsic properties of proteins established by their primary structure and modulate protein activity in response to physiological needs. This theoretical framework has helped guide research in adaptational biochemistry for many years and now stands poised to play a critical role in the post-genomic era, as physiologists grapple with the challenge of integrating the wealth of new data on gene sequences (genome), gene expression (transcriptome and proteome), and metabolic profiles (metabolome) into a realistic physiological context that takes into account the evolutionary histories and environmental relationships of species. (C) 2004 Elsevier Inc. All rights reserved.</t>
  </si>
  <si>
    <t>Stanford Univ, Dept Biol Sci, Hopkins Marine Stn, Pacific Grove, CA 93950 USA</t>
  </si>
  <si>
    <t>Stanford Univ, Dept Biol Sci, Hopkins Marine Stn, Oceanview Blvd, Pacific Grove, CA 93950 USA.</t>
  </si>
  <si>
    <t>somero@stanford.edu</t>
  </si>
  <si>
    <t>Somero, George/AAC-3321-2019</t>
  </si>
  <si>
    <t>Somero, George/0000-0003-1431-6455</t>
  </si>
  <si>
    <t>1096-4959</t>
  </si>
  <si>
    <t>1879-1107</t>
  </si>
  <si>
    <t>COMP BIOCHEM PHYS B</t>
  </si>
  <si>
    <t>Comp. Biochem. Physiol. B-Biochem. Mol. Biol.</t>
  </si>
  <si>
    <t>10.1016/j.cbpc.2004.05.003</t>
  </si>
  <si>
    <t>Biochemistry &amp; Molecular Biology; Zoology</t>
  </si>
  <si>
    <t>877GC</t>
  </si>
  <si>
    <t>WOS:000225554900005</t>
  </si>
  <si>
    <t>Storey, KB</t>
  </si>
  <si>
    <t>Adventures in oxygen metabolism</t>
  </si>
  <si>
    <t>anaerobiosis; antioxidant defenses; biochemical adaptation; enzyme regulation; gene expression; hypoxia tolerance; metabolic rate depression; muscle exercise</t>
  </si>
  <si>
    <t>HYPOXIA-TOLERANCE; OXIDATIVE STRESS; ANOXIA TOLERANCE; GENE-EXPRESSION; EVOLUTION; ENZYMES; MUSCLE; HEART; HOMEOSTASIS; ADAPTATIONS</t>
  </si>
  <si>
    <t>Peter W. Hochachka led a grand life of science adventure and left as his legacy a whole new field-biochemical adaptation. Oxygen was at the core of Peter's career and his laboratory made major contributions to our understanding of how animals deal with variation in oxygen availability in many form. He analyzed the molecular mechanisms that support facultative anaerobiosis, studied muscle exercise metabolism for high speed flight, swimming and running, investigated mammalian diving on many trips to the Antarctic to study Weddell seals, and probed the metabolic and genetic adaptations that provide optimal hypoxia tolerance for humans residing at high altitudes. His work illuminated both biochemical and physiological mechanisms that are used to optimize aerobic metabolism, to compensate for hypoxic insults, and to conserve energy by strong metabolic rate depression under anoxia. His articles, books and lectures galvanized the field with leading-edge insights and theories and he consistently challenged comparative biochemists to use their unique model systems to explore the range and breadth of animal strategies of biochemical adaptation. Lessons drawn from my training in Peter's laboratory have led me on continuing explorations of adaptations in enzyme function, signal transduction, gene expression, and antioxidant defenses ranging over systems of anoxia tolerance, freezing survival, estivation, and mammalian hibernation. (C) 2004 Elsevier Inc. All rights reserved.</t>
  </si>
  <si>
    <t>Carleton Univ, Inst Biochem, Ottawa, ON K1S 5B6, Canada</t>
  </si>
  <si>
    <t>Carleton Univ, Inst Biochem, 1125 Colonel Dr, Ottawa, ON K1S 5B6, Canada.</t>
  </si>
  <si>
    <t>kenneth_storey@carleton.ca</t>
  </si>
  <si>
    <t>Storey, Kenneth B/G-9883-2011</t>
  </si>
  <si>
    <t>Storey, Kenneth/0000-0002-7363-1853</t>
  </si>
  <si>
    <t>STE 800, 230 PARK AVE, NEW YORK, NY 10169 USA</t>
  </si>
  <si>
    <t>10.1016/j.cbpc.2004.02.018</t>
  </si>
  <si>
    <t>WOS:000225554900008</t>
  </si>
  <si>
    <t>Guderley, H</t>
  </si>
  <si>
    <t>Locomotor performance and muscle metabolic capacities: impact of temperature and energetic status</t>
  </si>
  <si>
    <t>locomotor performance; muscle metabolic capacities; energetic status</t>
  </si>
  <si>
    <t>GOLDFISH CARASSIUS-AURATUS; MITOCHONDRIAL PROTON LEAK; SCALLOP CHLAMYS-ISLANDICA; TROUT RED MUSCLE; THERMAL-ACCLIMATION; RAINBOW-TROUT; ATLANTIC COD; THREESPINE STICKLEBACK; BIOLOGICAL-MEMBRANES; SKELETAL-MUSCLE</t>
  </si>
  <si>
    <t>In aquatic ectotherms, muscle metabolic capacities are strongly influenced by exogenous factors, principally temperature and food availability. Seasonal changes in temperature lead many organisms to modify their metabolic machinery so as to maintain capacity even in slower cold habitats. Modifications of mitochondrial capacities are central in this response. The increases in protein-specific oxidative capacities of mitochondria during cold acclimation of temperate fishes do not occur during the evolutionary adaptation to cold in Antarctic species. Instead, Antarctic fishes tend to increase the proportion of fibre volume devoted to mitochondria, perhaps to facilitate intracellular distribution of oxygen and metabolites. Variation in energetic status can drastically modify muscle metabolic status, with glycolytic muscle changing more than oxidative muscle. This in turn impacts swimming performance. A decrease in the condition of cod leads endurance at speeds above U-crit to drop by 70%. Sprint swimming is less affected, perhaps as it does not exhaust glycolytic muscle. We used interindividual variation in muscle metabolic capacities to identify correlates of swimming performance in stickleback and cod. Activities of cytochrome c oxidase in glycolytic muscle are a correlate of sprint swimming in stickleback (Gasterosteus aculeatus) and cod (Gadus morhua), whereas lactate dehydrogenase activities in glycolytic muscle are a correlate of cod endurance swimming. In scallops, gonadal maturation leads to virtually complete mobilisation of glycogen from muscle. This does not reduce the capacity of the scallops, Chlamys islandica and Euvola ziczac, to mount escape responses, but significantly slows their recuperation from exhaustive exercise. Muscle metabolic capacities fall in parallel with glycogen mobilisation. In the compromise between muscles' dual roles as a motor and a macromolecular reserve, a significant loss in locomotory ability occur, during gametogenesis and spawning. Reproductive fitness takes the upper hand over maintenance of performance. (C) 2004 Elsevier Inc. All rights reserved.</t>
  </si>
  <si>
    <t>Univ Laval, Dept Biol, Quebec City, PQ G1K 7P4, Canada</t>
  </si>
  <si>
    <t>Laval University</t>
  </si>
  <si>
    <t>helga.guderley@bio.ulaval.ca</t>
  </si>
  <si>
    <t>10.1016/j.cbpc.2004.04.001</t>
  </si>
  <si>
    <t>WOS:000225554900009</t>
  </si>
  <si>
    <t>Meinen, CS; Garzoli, SL; Johns, WE; Baringer, MO</t>
  </si>
  <si>
    <t>Transport variability of the Deep Western Boundary Current and the Antilles Current off Abaco Island, Bahamas</t>
  </si>
  <si>
    <t>LABRADOR SEA-WATER; ANTARCTIC CIRCUMPOLAR CURRENT; SUBTROPICAL NORTH-ATLANTIC; INVERTED ECHO SOUNDERS; 26.5 DEGREES N; GULF-STREAM; EAST; 26.5-DEGREES-N; CIRCULATION; OCEAN</t>
  </si>
  <si>
    <t>Hydrography is combined with 1-year-long Inverted Echo Sounder (IES) travel-time records and bottom pressure observations to estimate the Deep Western Boundary Current (DWBC) transport east of Abaco Island, the Bahamas (near 26.5degreesN); comparison of the results to a more traditional line of current meter moorings demonstrates that the IESs and pressure gauges, combined with hydrography, can accurately monitor the DWBC transport to within the accuracy of the current meter array estimate at this location. Between 800 and 4800 dbar, bounded by two IES moorings 82 km apart, the enclosed portion of the DWBC is shown to have a mean southward transport of about 25 Sv (I Sv = 10(6) m(3) s(-1)) and a standard deviation of 23 Sv. The DWBC transport is primarily barotropic (where barotropic is defined as the near-bottom velocity rather than the vertical average velocity); geostrophic transports relative to an assumed level of no motion do not accurately reflect the actual absolute transport variability (correlation coefficient is 0.30). The IES-pressure gauge absolute transport within 1200-4800 dbar agrees well with the current meter absolute transports (upper integration limit based on shallowest current meter level); the standard deviation of the difference is 12 Sv and the mean difference is 0.2 Sv. The correlation coefficient between these two time series is 0.76. The northward flowing Antilles Current (AC) east of Abaco Island has a mean baroclinic transport of 6 Sv as estimated by the IESs and a standard deviation of 3 Sv. The AC variations observed during 1996-1997 are uncorrelated with the Florida Current transport variations west of Abaco Island in the Florida Straits, however, the AC transport variations bear some resemblance to the historical estimates of the AC annual cycle. (C) 2004 Elsevier Ltd. All rights reserved.</t>
  </si>
  <si>
    <t>Univ Miami, NOAA, AOML, PHOD,Cooperat Inst Marine &amp; Atmosphere Studies, Miami, FL 33149 USA; Univ Miami, Rosenstiel Sch Marine &amp; Atmospher Sci, Miami, FL 33149 USA</t>
  </si>
  <si>
    <t>National Oceanic Atmospheric Admin (NOAA) - USA; Atlantic Oceanographic &amp; Meteorological Laboratory (AOML); University of Miami; University of Miami</t>
  </si>
  <si>
    <t>Univ Miami, NOAA, AOML, PHOD,Cooperat Inst Marine &amp; Atmosphere Studies, 4301 Rickenbacker Causeway, Miami, FL 33149 USA.</t>
  </si>
  <si>
    <t>christopher.meinen@noaa.gov; silvia.garzoli@noaa.gov; wjohns@rsmas.miami.edu; molly.baringer@noaa.gov</t>
  </si>
  <si>
    <t>Garzoli, Silvia/JCP-1471-2023; Meinen, Christopher/G-1902-2012; Baringer, Molly/D-2277-2012; Garzoli, Silvia/A-3556-2010</t>
  </si>
  <si>
    <t>Meinen, Christopher/0000-0002-8846-6002; Baringer, Molly/0000-0002-8503-5194; Garzoli, Silvia/0000-0003-3553-2253</t>
  </si>
  <si>
    <t>10.1016/j.dsr.2004.07.007</t>
  </si>
  <si>
    <t>871ID</t>
  </si>
  <si>
    <t>WOS:000225123100001</t>
  </si>
  <si>
    <t>Morrow, R; Donguy, JR; Chaigneau, A; Rintoul, SR</t>
  </si>
  <si>
    <t>Cold-core anomalies at the subantarctic front, south of Tasmania</t>
  </si>
  <si>
    <t>mesoscale eddies; antarctic fronts; eddy flux; satellite altimetry; Xbts; southern ocean; south of Tasmania</t>
  </si>
  <si>
    <t>CIRCUMPOLAR CURRENT; SEASONAL EVOLUTION; OCEAN; HEAT; CIRCULATION; ALTIMETRY; FLUX; TOPEX/POSEIDON; VARIABILITY; ENERGETICS</t>
  </si>
  <si>
    <t>Eight years of altimetry and hydrographic data are used to examine the formation, propagation and vertical characteristics of cold-core rings formed north of the Subantarctic Front, SAF, in the region south of Tasmania. Altimetry allows us to follow the spatial-temporal evolution of these cold, low sea level anomalies. Most of these cold-core rings are formed from unstable meanders of the SAF, and the interaction of the meanders with bathyrnetry appears to influence the eddy spawning. The interaction of a westward propagating cold-core eddy with an eastward propagating equatorward meander can also trigger a cold-core eddy spawning event. Hydrographic sections show that these eddies have cool, low-salinity cores reaching to at least 1500 m depth. During summer, their surface temperature signal is eliminated only 2-3 weeks after spawning, however, their surface salinity signature is maintained for 2-3 months. We estimate that these cold-core eddies could contribute an annual heat deficit of -3.8 x 10(19) J, and an annual salt deficit of -1.6 x 10(12) kg, and contribute to cooling and freshening the region north of the SAF where mode waters form. The salt deficit is equivalent to that introduced by the northward Ekman transport, suggesting that eddies may play an important role in transporting low-salinity water into the Subantarctic Zone. (C) 2004 Elsevier Ltd. All rights reserved.</t>
  </si>
  <si>
    <t>LEGOS, F-31401 Toulouse 9, France; Le Bas Bout, F-22490 Plouer Sur Rance, France; CSIRO, Marine Res &amp; Antarct Climate &amp; Ecosyst Cooperat R, Hobart, Tas 7001, Australia</t>
  </si>
  <si>
    <t>Morrow, R (corresponding author), LEGOS, 18 Av Edouard Belin, F-31401 Toulouse 9, France.</t>
  </si>
  <si>
    <t>rosemary.morrow@cnes.fr</t>
  </si>
  <si>
    <t>10.1016/j.dsr.2004.07.005</t>
  </si>
  <si>
    <t>WOS:000225123100002</t>
  </si>
  <si>
    <t>Li, WKW; Head, EJH; Harrison, WG</t>
  </si>
  <si>
    <t>Macroecological limits of heterotrophic bacterial abundance in the ocean</t>
  </si>
  <si>
    <t>bacterioplankton; chlorophyll; comparative analysis; macroecology; phytoplankton</t>
  </si>
  <si>
    <t>ATLANTIC TIME-SERIES; BOTTOM-UP; TOP-DOWN; PHYTOPLANKTON; BIOMASS; BACTERIOPLANKTON; TEMPERATURE; BATS</t>
  </si>
  <si>
    <t>The global association between heterotrophic bacteria and phytoplankton in the open ocean was examined to identify the macroecological limits of bacterial abundance. A consolidated dataset was constructed using 13,973 paired measurements of bacterial abundance and chlorophyll concentration from 15 years of observation in various biogeochemical provinces covering the Atlantic, Pacific, Arctic and Antarctic Oceans as well as the Arabian Sea. The bivariate relationship between bacteria and chlorophyll is a filled polygon whose upper boundary undergoes a change in slope from positive to negative at about 1 mgChl m(-3), suggesting a transition from bottom-up to top-down control of bacteria along a resource supply gradient. The upper limit of bacterial abundance in the ocean is everywhere set by phytoplankton, but the limit is not realized in productive waters because of mortality losses. A carrying capacity of about 7 trillion bacteria for 1 mg of chlorophyll is indicated by empirical observations, consistent with theoretical considerations and predictions from food web modelling. Crown Copyright (C) 2004 Published by Elsevier Ltd. All rights reserved.</t>
  </si>
  <si>
    <t>Bedford Inst Oceanog, Biol Oceanog Sect, Dartmouth, NS B2Y 4A2, Canada</t>
  </si>
  <si>
    <t>Fisheries &amp; Oceans Canada; Bedford Institute of Oceanography</t>
  </si>
  <si>
    <t>Bedford Inst Oceanog, Biol Oceanog Sect, POB 1006, Dartmouth, NS B2Y 4A2, Canada.</t>
  </si>
  <si>
    <t>LiB@mar.dfo-mpo.gc.ca</t>
  </si>
  <si>
    <t>Head, Erica/HZH-7308-2023</t>
  </si>
  <si>
    <t>10.1016/j.dsr.2004.06.012</t>
  </si>
  <si>
    <t>WOS:000225123100008</t>
  </si>
  <si>
    <t>Hendricks, MB; Bender, ML; Barnett, BA</t>
  </si>
  <si>
    <t>Net and gross O2 production in the Southern Ocean from measurements of biological O2 saturation and its triple isotope composition</t>
  </si>
  <si>
    <t>ANTARCTIC POLAR FRONT; SUB-ARCTIC PACIFIC; ATMOSPHERIC OXYGEN; SEASONAL EVOLUTION; BIOGENIC SILICA; NITROGEN UPTAKE; SURFACE WATERS; ORGANIC-CARBON; DISSOLVED O2; GAS-EXCHANGE</t>
  </si>
  <si>
    <t>Mixed layer seawater samples from t`he Southern Ocean were analyzed for the triple oxygen isotope composition (delta(17)O and delta(18)O) of dissolved O-2 and the ratio of [O-2] to [Ar]. delta(17)O and delta(18)O together constrain the mass independent anomaly in O-2, and hence the fraction of photosynthetic O-2 in the dissolved O-2 pool. Assuming oxygen in the mixed layer is at steady state, we calculate ratios of the gross photosynthetic O-2 production rate to the O-2 air-sea gas exchange rate, and ratios of net to gross O-2 production rates. With estimates of the O-2 gas exchange rate from a wind speed parameterization, we determine absolute in situ rates of gross and net O-2 production. Based on the net/gross production ratios and delta(18)O of dissolved O-2, we calculate a value for the O-18 fractionation factor associated with marine respiration in the Southern Ocean mixed layer of 0.978 (an isotope effect of 22parts per thousand). The study regions cover latitudes between similar to45degreesS and the ice edge at: (1) 175degreesE in December 1999, (2) 145degreesE in December 2000, and (3) 145degreesE in January 2001. At both meridians, gross O-2 production decreases to the south. At 145degreesE, rates of net O-2 production follow the same pattern, while at 175degreesE these rates are consistently low at all latitudes. In December, gross and net O-2 production rates are both higher at 145degreesE than at 175degreesE. Gross O-2 production at 145degreesE was similar in December and January, but net O-2 production decreased by similar to50%. Net/gross C production ratios, calculated by scaling O-2 production rates, are lower than estimates of the N-15 f-ratio, determined as the ratio of (NO3)-N-15 uptake to (NO3-)-N-15 + (NH4+)-N-15 uptake in N-15 incubations. They are also lower than ef-ratios predicted by the model of Laws et al. (Global Biogeochem. Cycles 14 (2000a) 1231) at the temperatures of the Southern Ocean. The differences in the measurements could be due to natural interannual and spatial variability or the differences in metabolic rates measured and modeled, and the fundamental assumptions required by each technique. (C) 2004 Elsevier Ltd. All rights reserved.</t>
  </si>
  <si>
    <t>Princeton Univ, Dept Geosci, Princeton, NJ 08544 USA</t>
  </si>
  <si>
    <t>Princeton University</t>
  </si>
  <si>
    <t>Princeton Univ, Dept Geosci, Princeton, NJ 08544 USA.</t>
  </si>
  <si>
    <t>mhendric@princeton.edu</t>
  </si>
  <si>
    <t>10.1016/j.dsr.2004.06.006</t>
  </si>
  <si>
    <t>WOS:000225123100009</t>
  </si>
  <si>
    <t>Mangoni, O; Modigh, M; Conversano, F; Carrada, GC; Saggiomo, V</t>
  </si>
  <si>
    <t>Effects of summer ice coverage on phytoplankton assemblages in the Ross Sea, Antarctica</t>
  </si>
  <si>
    <t>phytoplankton; size-fractionated biomass; photosynthetic pigments; HPLC; Ross Sea; Antarctica</t>
  </si>
  <si>
    <t>AUSTRAL SPRING 1992; SOUTHERN-OCEAN; ATLANTIC SECTOR; PRIMARY PRODUCTIVITY; BELLINGSHAUSEN SEA; CLIMATE-CHANGE; CARBON EXPORT; WATERS; IMPACT; BLOOMS</t>
  </si>
  <si>
    <t>An oceanographic cruise was conducted in the Ross Sea (Antarctica) during summer 2001 as part of the Italian National Program for Antarctic Research (PNRA). Extensive areas of pack ice occurred over the Ross Sea, atypical for summer when offshore waters are normally free of ice. The present study focuses on the effects of increased ice coverage on phytoplankton assemblages. Water samples collected at various depths at 72 hydrographical stations in offshore and coastal waters were used to determine size-fractionated phytoplankton biomass as chlorophyll a (chla) concentrations, and HPLC photosynthetic pigments. For the offshore waters, the average chla concentration was 57.8 mg m(-2), approximately three times the values recorded under ice-free conditions during summer 1996. In coastal waters, the average chla concentrations were 102 and 206 mg m(-2) during January and February, respectively, i.e., up to 2.5 times those of 1996. Micro- and nano-phytoplankton size fractions made up about 90% of the phytoplankton biomass over the entire study area and were composed primarily of diatoms with a pico-phytoplankton fraction dominated by prymnesiophyceans. The broken pack and melting ice was strongly coloured by an extensive algal biomass suggesting that the phytoplankton was a result of seeding from ice algal communities. The Ross Sea considered to be one of the most productive areas of the Southern Ocean, had primary production values about four-fold those of other areas. The lengthening of the ice season observed in the Western Ross Sea, associated with a considerable increase in phytoplankton biomass as observed in summer 2001, would have a major impact on the trophic structure of the entire ecosystem, and presumably, also on carbon export. (C) 2004 Elsevier Ltd. All rights reserved.</t>
  </si>
  <si>
    <t>Univ Naples Federico II, Dipartimento Zool, I-80134 Naples, Italy; Staz Zool Anton Dohrn, I-80121 Naples, Italy</t>
  </si>
  <si>
    <t>University of Naples Federico II; Stazione Zoologica Anton Dohrn di Napoli</t>
  </si>
  <si>
    <t>Univ Naples Federico II, Dipartimento Zool, Via Mezzocannone 8, I-80134 Naples, Italy.</t>
  </si>
  <si>
    <t>olga.mangoni@unina.it</t>
  </si>
  <si>
    <t>10.1016/j.dsr.2004.07.006</t>
  </si>
  <si>
    <t>WOS:000225123100012</t>
  </si>
  <si>
    <t>Pusch, C; Hulley, PA; Kock, KH</t>
  </si>
  <si>
    <t>Community structure and feeding ecology of mesopelagic fishes in the slope waters of King George Island (South Shetland Islands, Antarctica)</t>
  </si>
  <si>
    <t>marine fish; myctophidae; mesopelagic zone; community structure; stomach content; predation; daily ration</t>
  </si>
  <si>
    <t>EUPHAUSIA-SUPERBA; STENOBRACHIUS-LEUCOPSARUS; VERTICAL-DISTRIBUTION; MYCTOPHID FISHES; STOMACH CONTENTS; KRILL; MICRONEKTON; TASMANIA; SEALS; COMPETITION</t>
  </si>
  <si>
    <t>The role of mesopelagic fishes in the Southern Ocean ecosystem and more particular their trophic effect on the standing stock of mesozooplankton is at present poorly understood. To get a deeper insight in the Antarctic mid-water ecosystem the mesopelagic fish community of the King George Island slope (South Shetland Islands) was sampled with a pelagic trawl in 1996. The community structure was analysed and the feeding ecology was studied of the five most abundant species. A total of 18 mesopelagic fish species in 10 families was identified. Of these, the Nlyctophidae was the most important family by species number (9 species), individual number (98.5% of all individuals) and fish wet weight (87.3% of the total weight). The assemblage was numerically dominated by four myctophids (Electrona antarctica, Gymnoscopelus braueri, Gymnoscopelus nicholsi, Protomyctophum bolini) and one gempilyd (Paradiplospinus gracilis). Multivariate statistical analysis of the mesopelagic fish data reveals two major groups of stations according to the sampled depth: a shallow group of stations (295-450 m depth) and a deeper group of stations (440-825 m depth). The change in relative abundance of mesopelagic fish species at 440-450 m coincides with the presence of warmer and denser Circumpolar Deep Water at and below these depths. Deeper stations were characterized by a higher density and increased diversity of mesopelagic fish species. The community patterns identified correlated well with the vertical depth distribution of the most abundant species. Dietary analysis reveals that myctophids are mostly zooplanktivorous, while the gempilyd P. gracilis is classified as a piscivorous predator. The small P. bolini feed mainly on copepods of the species Metridia gerlachei, while the most important prey item of the larger myctophids E antarctica, G. braueri, and G. nicholsi were various species of euphausiids. Investigation of feeding chronology showed that G. nicholsi and P. bolini were feeding day and night. Daily ration estimates for myctophid species ranged from 0.28% to 3.3% of dry body weight (0.5-5.94% of wet body weight). Krill (Euphausia superba) were the most important food of E antarctica and G. nicholsi, accounting for 53.1% and 58.3% of the total food weight, respectively. The annual removal from the krill stock by both species was estimated to amount to 11.1-26.7% in the South Shetland Islands region. This estimate emphasizes the important role of mesopelagic fish in the Antarctic ecosystem as a prevalent consumer of krill. (C) 2004 Elsevier Ltd. All rights reserved.</t>
  </si>
  <si>
    <t>Alfred Wegener Inst Polar &amp; Marine Res, D-27568 Bremerhaven, Germany; Iziko Museums Cape Town, ZA-8000 Cape Town, South Africa; Sea Fisheries Res Inst, D-22767 Hamburg, Germany</t>
  </si>
  <si>
    <t>Alfred Wegener Inst Polar &amp; Marine Res, POB 120161,Columbusstr, D-27568 Bremerhaven, Germany.</t>
  </si>
  <si>
    <t>cpusch@awi-bremerhaven.de</t>
  </si>
  <si>
    <t>10.1016/j.dsr.2004.06.008</t>
  </si>
  <si>
    <t>WOS:000225123100016</t>
  </si>
  <si>
    <t>Barrett, JE; Virginia, RA; Wall, DH; Parsons, AN; Powers, LE; Burkins, MB</t>
  </si>
  <si>
    <t>Variation in biogeochemistry and soil biodiversity across spatial scales in a polar desert ecosystem</t>
  </si>
  <si>
    <t>ECOLOGY</t>
  </si>
  <si>
    <t>Antarctic Dry Valleys; biodiversity; invertebrate communities; landscapes; nematodes; polygons</t>
  </si>
  <si>
    <t>MCMURDO DRY VALLEYS; SOUTHERN VICTORIA LAND; TAYLOR VALLEY; ORGANIC-MATTER; NEMATODES; ANTARCTICA; GLACIER; INVERTEBRATES; COMMUNITIES; EXTRACTION</t>
  </si>
  <si>
    <t>Desert ecosystems are characterized by distinct spatial patterning in soil biogeochemistry and biodiversity. In the Antarctic Dry Valleys, soil polygons are prominent features of the landscape and may be key units for scaling local ecological information to the greater region. We examined polygon soils in each of the three basins of Taylor Valley, Antarctica. Our objectives were to characterize variability in soil biogeochemistry and biodiversity at local to regional scales, and to test the influence of soil properties upon invertebrate communities. We found that soil biogeochemical properties and biodiversity vary over multiple spatial scales from fine (&lt; 10 m) to broad (&gt; 10 km) scales. Differences in biogeochemistry were most pronounced at broad scales among the major lake basins of Taylor Valley corresponding to differences in geology and microclimate, while variation in invertebrate biodiversity and abundance occurred at landscape scales of 10-500 m, and within individual soil polygons. Variation in biogeochernistry and invertebrate communities across these scales reflects the influence of physical processes and landscape development over ecosystem structure in the dry valleys. The development of soil polygons influences the spatial patterning of soil properties such as soil organic matter, salinity, moisture, and invertebrate habitat suitability. Nematode abundance and life history data indicate that polygon interiors are more suitable habitats than soils in the troughs at the edges of polygons. These data Suggest that physical processes (i.e., polygon development) and biogeochemistry are important influences on the spatial variability of biotic communities in dry valley soil ecosystems.</t>
  </si>
  <si>
    <t>Dartmouth Coll, Environm Studies Program, Hanover, NH 03755 USA; Colorado State Univ, Nat Resource Ecol Lab, Ft Collins, CO 80523 USA</t>
  </si>
  <si>
    <t>Dartmouth College; Colorado State University</t>
  </si>
  <si>
    <t>Dartmouth Coll, Environm Studies Program, Hanover, NH 03755 USA.</t>
  </si>
  <si>
    <t>John.E.Barrett@Dartmouth.edu</t>
  </si>
  <si>
    <t>Wall, Diana H/F-5491-2011; Barrett, John/D-5851-2016</t>
  </si>
  <si>
    <t>Barrett, John/0000-0002-7610-0505; Burkins, Melody/0000-0002-6096-8991</t>
  </si>
  <si>
    <t>0012-9658</t>
  </si>
  <si>
    <t>1939-9170</t>
  </si>
  <si>
    <t>Ecology</t>
  </si>
  <si>
    <t>10.1890/03-0213</t>
  </si>
  <si>
    <t>873EW</t>
  </si>
  <si>
    <t>WOS:000225263500019</t>
  </si>
  <si>
    <t>Lee, YI; Lim, HS; Yoon, HI</t>
  </si>
  <si>
    <t>Geochemistry of soils of King George Island, South Shetland Islands, West Antarctica: implications for pedogenesis in cold polar regions</t>
  </si>
  <si>
    <t>GEOCHIMICA ET COSMOCHIMICA ACTA</t>
  </si>
  <si>
    <t>MAJOR-ELEMENT CHEMISTRY; RARE-EARTH-ELEMENTS; CHEMICAL-COMPOSITION; DUST; ORIGIN; HISTORY; VOSTOK; FRACTIONATION; PENINSULA; MINERALS</t>
  </si>
  <si>
    <t>Fine fractions of soils on the Barton Peninsula, King George Island, West Antarctica have been forming during the last 6000 yr since the last deglaciation. Texturally, they are mostly composed of mineral and rock fragments with some volcanic ashes, which are also indicated by geochemical compositions representing for the nonclay silicate minerals and low values of chemical index of alteration. No significant changes are observed in major- and trace element abundances. Such geochemical characteristics suggest that chemical weathering of bedrocks on the Barton Peninsula seems insignificant and that the soils are composed of physically weathered mineral and rock fragments which are mixed with eolian additions of volcanic ashes and Patagonian dusts. Chondrite-normalized rare earth element (REE) distribution patterns of the Barton Peninsula soils are slightly different from those of bedrocks, indicating that the REE abundances and characteristics were influenced by eolian additions. Mixing calculations, which mass-balance the REEs, suggest that volcanic ashes blown from Deception Island were the major eolian contributor, followed by atmospheric dusts sourced from Patagonia, South America. Even in the warmer and humid climatic conditions in the maritime Antarctic region, the chemical weathering of bedrocks appears to be insignificant, probably due to the relatively short duration of weathering since the last deglaciation. Copyright (C) 2004 Elsevier Ltd.</t>
  </si>
  <si>
    <t>Seoul Natl Univ, Sch Earth &amp; Environm Sci, Seoul 151747, South Korea; Korea Ocean Res &amp; Dev Inst, Polar Res Ctr, Ansan 425600, South Korea</t>
  </si>
  <si>
    <t>Seoul National University (SNU); Korea Institute of Ocean Science &amp; Technology (KIOST)</t>
  </si>
  <si>
    <t>Seoul Natl Univ, Sch Earth &amp; Environm Sci, NS 80, Seoul 151747, South Korea.</t>
  </si>
  <si>
    <t>lee2602@plaza.sun.ac.kr</t>
  </si>
  <si>
    <t>Lim, Hyoun Soo/AAC-5499-2022</t>
  </si>
  <si>
    <t>Lim, Hyoun Soo/0000-0002-2489-4470</t>
  </si>
  <si>
    <t>0016-7037</t>
  </si>
  <si>
    <t>1872-9533</t>
  </si>
  <si>
    <t>GEOCHIM COSMOCHIM AC</t>
  </si>
  <si>
    <t>Geochim. Cosmochim. Acta</t>
  </si>
  <si>
    <t>NOV 1</t>
  </si>
  <si>
    <t>10.1016/j.gca.2004.01.020</t>
  </si>
  <si>
    <t>865JH</t>
  </si>
  <si>
    <t>WOS:000224698000004</t>
  </si>
  <si>
    <t>Lu, HB; Fulthorpe, CS</t>
  </si>
  <si>
    <t>Controls on sequence stratigraphy of a middle Miocene-Holocene, current-swept, passive margin: Offshore Canterbury Basin, New Zealand</t>
  </si>
  <si>
    <t>GEOLOGICAL SOCIETY OF AMERICA BULLETIN</t>
  </si>
  <si>
    <t>continental shelf; continental slope; multichannel seismic; sequence stratigraphy; sediment drift; New Zealand</t>
  </si>
  <si>
    <t>ANTARCTIC CIRCUMPOLAR CURRENT; GLOBAL SEA-LEVEL; CURRENT-CONTROLLED SEDIMENTATION; CONTOURITE DEPOSITIONAL SYSTEMS; SOUTHWEST PACIFIC-OCEAN; NORTHERN ROCKALL TROUGH; CURRENT PLATE MOTIONS; EEL RIVER BASIN; CONTINENTAL-MARGIN; SOUTHERN ALPS</t>
  </si>
  <si>
    <t>The offshore Canterbury Basin exemplifies sequence development on a prograding passive margin influenced strongly by submarine currents. Nineteen middle Miocene-Holocene, regional, sequence-bounding unconformities are interpreted by using high-resolution multichannel seismic data. The sequences can be grouped into larger units based on seismic geometry and facies that reflect different combinations of controls on sequence architecture. Correlation with oxygen isotope records suggests that eustasy controls the timing of sequence boundaries. The number of sequences is similar to that of coeval cycles on a temperature-adjusted, Miocene and early Pliocene delta(18)O record. The late Pliocene-Pleistocene sequence record is of lower frequency than the isotopic record of this period, either because of the limitations of seismic resolution or because of removal of sequence boundaries by erosion associated with high-amplitude eustasy. However, the last two sequence boundaries correlate well with the last two 100 k.y. isotopic cycles. In contrast, sequence architecture is influenced strongly by local processes. Along-strike currents create large, elongate sediment drifts that control sequence thickness; current erosion in drift moats forms diachronous unconformities. Drifts focus deposition on the slope, reducing the rate of basinward advance of the shelf edge, but increasing that of the slope toe, thereby reducing slope inclination. Replacement of along-strike processes by downslope processes increases rates of shelf-edge progradation, and the slope steepens as the reduced accommodation space over the expanded slope is filled. Clinoform geometries along strike from active drifts suggest that currents might influence clinoform formation even in locations lacking seismic evidence of current reworking.</t>
  </si>
  <si>
    <t>Univ Texas, Dept Geol Sci, John A &amp; Katherine G Jackson Sch Geosci, Austin, TX 78712 USA; Univ Texas, Inst Geophys, John A &amp; Katherine G Jackson Sch Geosci, Austin, TX 78759 USA</t>
  </si>
  <si>
    <t>University of Texas System; University of Texas Austin; University of Texas System; University of Texas Austin</t>
  </si>
  <si>
    <t>Univ Texas, Dept Geol Sci, John A &amp; Katherine G Jackson Sch Geosci, 1 Univ Stn C1100, Austin, TX 78712 USA.</t>
  </si>
  <si>
    <t>hongbo@ig.utexas.edu; craig@ig.utexas.edu</t>
  </si>
  <si>
    <t>Fulthorpe, Craig S./C-3066-2008; Fulthorpe, Craig/AEV-6014-2022</t>
  </si>
  <si>
    <t>GEOLOGICAL SOC AMER, INC</t>
  </si>
  <si>
    <t>PO BOX 9140, BOULDER, CO 80301-9140 USA</t>
  </si>
  <si>
    <t>0016-7606</t>
  </si>
  <si>
    <t>1943-2674</t>
  </si>
  <si>
    <t>GEOL SOC AM BULL</t>
  </si>
  <si>
    <t>Geol. Soc. Am. Bull.</t>
  </si>
  <si>
    <t>NOV-DEC</t>
  </si>
  <si>
    <t>10.1130/B2525401.1</t>
  </si>
  <si>
    <t>869TH</t>
  </si>
  <si>
    <t>WOS:000225006700004</t>
  </si>
  <si>
    <t>Winberry, JP; Anandakrishnan, S</t>
  </si>
  <si>
    <t>Crustal structure of the West Antarctic rift system and Marie Byrd Land hotspot</t>
  </si>
  <si>
    <t>GEOLOGY</t>
  </si>
  <si>
    <t>West Antarctica; hotspot; extension; seismology</t>
  </si>
  <si>
    <t>MARIE-BYRD-LAND; ROSS SEA; TRANSANTARCTIC MOUNTAINS; EAST; BENEATH; MOTION; BALANCE; BASIN</t>
  </si>
  <si>
    <t>The West Antarctic rift system is one of the largest zones of continental extension on Earth. However, little is known of its crustal structure owing to the vast ice sheet that dominates the region. We report on new insights gained from a recent broadband seismic experiment. The 25-km-thick crust measured on the southern flank of the Marie Byrd Land dome suggests that the high topography there is partially supported by a low-density mantle, possibly a hotspot, whereas the interior of the rift appears to be underlain by average-density mantle, suggesting that active volcanism is not present beneath the interior of the West Antarctic Ice Sheet. The fact that a crustal thickness of only 21 km was measured in the Bentley subglacial trench suggests that the region has undergone locally extreme extension.</t>
  </si>
  <si>
    <t>Penn State Univ, Dept Geosci, University Pk, PA 16802 USA</t>
  </si>
  <si>
    <t>Pennsylvania Commonwealth System of Higher Education (PCSHE); Pennsylvania State University; Pennsylvania State University - University Park</t>
  </si>
  <si>
    <t>Penn State Univ, Dept Geosci, University Pk, PA 16802 USA.</t>
  </si>
  <si>
    <t>winberry@essc.psu.edu</t>
  </si>
  <si>
    <t>Winberry, Paul/E-5557-2011; Winberry, Paul/HLQ-2673-2023; Anandakrishnan, Sridhar/JCN-5026-2023</t>
  </si>
  <si>
    <t>Winberry, Paul/0000-0003-1205-0745;</t>
  </si>
  <si>
    <t>0091-7613</t>
  </si>
  <si>
    <t>1943-2682</t>
  </si>
  <si>
    <t>10.1130/G20768.1</t>
  </si>
  <si>
    <t>869TI</t>
  </si>
  <si>
    <t>WOS:000225006800013</t>
  </si>
  <si>
    <t>Carter, RM; Fulthorpe, CS; Lu, H</t>
  </si>
  <si>
    <t>Canterbury drifts at Ocean Drilling Program Site 1119, New Zealand: Climatic modulation of southwest Pacific intermediate water flows since 3.8Ma</t>
  </si>
  <si>
    <t>Ocean Drilling Program; Antarctic Intermediate Water; subantarctic mode water; subantarctic front; Canterbury drifts; sediment drifts; New Zealand</t>
  </si>
  <si>
    <t>CONTINENTAL-SHELF; SEDIMENT DRIFTS; CONTOURITES; STRATIGRAPHY; ARCHITECTURE; ATLANTIC; BOUNDARY; MARGIN; FAULT; SILT</t>
  </si>
  <si>
    <t>We provide a record of variations in southwest Pacific Ocean intermediate water flow that shows a strong correlation between periods of vigorous flow and warm climate phases. Ocean Drilling Program Site 1119, located at 395 in water depth on the upper continental slope east of New Zealand, penetrated 514 m of silts and silty clays (glacial deposits) punctuated by muds and episodic 0.02-1.2-m-thick terrigenous sands (interglacial deposits). The natural gamma-ray record reflects the waxing and waning of the South Island ice cap since 3.91 Ma. Below 86.19 m composite depth, the succession comprises drift sediments deposited from north-flowing intermediate Subantarctic Mode Water (SAMW, similar to250-800 m depth) and Antarctic Intermediate Water (similar to800-1100 m depth). A change from the deposition of large, low-energy drifts on the middle slope to smaller, higher-energy drifts on the upper slope coincided with global climatic deterioration that occurred after ca. 3.25 Ma. This change marks an upward expansion of intermediate cold waters, perhaps caused by the inception of the Subantarctic Front and the consequent commencement of Southland Current-driven SAMW flow.</t>
  </si>
  <si>
    <t>James Cook Univ N Queensland, Marine Geophys Lab, Townsville, Qld 4811, Australia; Univ Texas, Inst Geophys, Austin, TX 78712 USA</t>
  </si>
  <si>
    <t>James Cook University; University of Texas System; University of Texas Austin</t>
  </si>
  <si>
    <t>Carter, RM (corresponding author), James Cook Univ N Queensland, Marine Geophys Lab, Townsville, Qld 4811, Australia.</t>
  </si>
  <si>
    <t>bob.carter@jcu.edu.au</t>
  </si>
  <si>
    <t>Fulthorpe, Craig/AEV-6014-2022; Fulthorpe, Craig S./C-3066-2008</t>
  </si>
  <si>
    <t>GEOLOGICAL SOC AMERICA, INC</t>
  </si>
  <si>
    <t>10.1130/G20783.1</t>
  </si>
  <si>
    <t>WOS:000225006800020</t>
  </si>
  <si>
    <t>Dietrich, D; Arndt, H</t>
  </si>
  <si>
    <t>Benthic heterotrophic flagellates in an Antarctic melt water stream</t>
  </si>
  <si>
    <t>HYDROBIOLOGIA</t>
  </si>
  <si>
    <t>polar; King George Island; microbial mat; bacteria; ciliates; meiofauna</t>
  </si>
  <si>
    <t>COMMUNITY STRUCTURE; MARINE-SEDIMENTS; CELL CARBON; LAKE BONNEY; ICE COVER; BACTERIA; BIOMASS; BACTERIOPLANKTON; DYNAMICS; VALLEY</t>
  </si>
  <si>
    <t>Investigations on the abundance, biomass and position of heterotrophic flagellates (HF) in the benthic microbial food web of a melt water stream on King George Island, Antarctic Peninsula, were undertaken during the Antarctic summer from 23rd December 1997 until 13th March 1998. Abundance and biomass of potential HF resources ( picophotoautotrophic and non-photoautotrophic bacteria) as well as potential predators on HF (ciliates and meiofauna) were also investigated. HF abundance ranged from approximately 9 x 10(3) to 81 x 10(3) cells cm(-3), values which fall into the same range as those found in lower latitudes. Numerically important benthic HF were euglenids, kinetoplastids, thaumatomastigids and especially chrysomonads. Most species identified have been shown to have a worldwide distribution. Abundance of the benthic ciliates ranged from 27 to 950 cells cm(-3). Mean bacterial abundance was 1.9 x 10(7) and 5.2 x 10(8) cells cm(-3) for picophotoautotrophic and non-photoautotrophic benthos, respectively. The well-developed microbial community was able to support the large number of nematods, gastotrichs, tardigrads and rotifers with abundances reaching more than 1000 individuals cm(-3). The largest portion of heterotrophic biomass was formed by the meiofauna with a mean of 63 mug C cm(-3), followed by that of the heterotrophic bacteria with 4.80 mug C cm(-3). Picophotoautotrophic bacteria contributed a mean of 1.37 mug C cm(-3). HF and ciliates mean biomass was 0.61 and 1.99 mug C cm(-3), respectively, with the HF biomass comprising between &lt; 10 and 70% of the total protozoan biomass. The data obtained in this study identify the melt water stream as a hot-spot of heterotrophic microbial and meiofaunal activity during the austral summer. The HF in the melt water stream formed a diverse group in terms of taxa and potential feeding types. Chrysomonads, kinetoplastids, euglenids and thaumatomastigida were the most abundant taxa. A classification into feeding types identified an average of 34% of the total HF as bacterivorous while all others were able to utilise other, larger organisms as resources. Potential trophic interactions between HF and bacteria and higher trophic levels are discussed.</t>
  </si>
  <si>
    <t>Univ Cologne, Inst Zool, Dept Gen Ecol &amp; Limnol, D-50923 Cologne, Germany; Free Univ Berlin, Inst Biol Zool, D-14195 Berlin, Germany</t>
  </si>
  <si>
    <t>University of Cologne; Free University of Berlin</t>
  </si>
  <si>
    <t>Univ Cologne, Inst Zool, Dept Gen Ecol &amp; Limnol, Weyertal 119, D-50923 Cologne, Germany.</t>
  </si>
  <si>
    <t>desidiet@aol.com</t>
  </si>
  <si>
    <t>Arndt, Hartmut/K-9364-2017</t>
  </si>
  <si>
    <t>Arndt, Hartmut/0000-0003-2811-3595</t>
  </si>
  <si>
    <t>0018-8158</t>
  </si>
  <si>
    <t>1573-5117</t>
  </si>
  <si>
    <t>Hydrobiologia</t>
  </si>
  <si>
    <t>10.1007/s10750-004-4947-3</t>
  </si>
  <si>
    <t>870FE</t>
  </si>
  <si>
    <t>WOS:000225042200006</t>
  </si>
  <si>
    <t>Pizarro, H; Allende, L; Bonaventura, SM</t>
  </si>
  <si>
    <t>Littoral epilithon of lentic water bodies at Hope Bay, Antarctic Peninsula: biomass variables in relation to environmental conditions</t>
  </si>
  <si>
    <t>epilithon; biomass; environmental conditions; lentic water bodies; Antarctic Peninsula</t>
  </si>
  <si>
    <t>KING-GEORGE ISLAND; POTTER PENINSULA; STREAM ECOSYSTEMS; PHYTOPLANKTON; PERIPHYTON; LAKES; COMMUNITIES; SUBSTRATA; ECOLOGY; ALGAE</t>
  </si>
  <si>
    <t>We studied the structural characteristics of the littoral epilithon in nine lentic water bodies at Hope Bay, Antarctic Peninsula, during summer 2002. At each site we measured the main physical and chemical variables and took epilithic samples for the analysis of dry weigh, ash, ash-free dry weight and chlorophyll a concentration. Distance from the sea of each water body was also considered. One site was selected for sampling lakes and ponds, except for Boeckella lake, where two sampling sites ( A and B) were selected due to the heterogeneity of its littoral zone. Three stones for chlorophyll a analysis and another three to estimate dry weight, ash and ash-free dry weight, were taken randomly about 1 m away from the shore-line of each sampling site. Measurements of physical and chemical characteristics were obtained similarly. Water samples for chemical analysis were taken sub-superficially. Lakatos's system of classification and the Autotrophic Index were used to make functional inferences about the epilithic communities. Two PCA analyses were made to classify the water bodies according to environmental features and epilithic variables. In the latter, major patterns in data of epilithon were subsequently interpreted based on environmental data using external validation. Pingui pond, located in the middle of the penguin rookery, was considered as a passive sample in both PCA analyses due to its extreme characteristics. Limnological features of the studied water bodies were similar to those of other Maritime Antarctic lakes. According to the Lakatos's index, 60% of the sampled lakes had high epilithic mass and a same proportion showed an inorganic type of epilithon The fact that 40% of the water bodies were autotrophic confirmed the importance of benthos as primary producer. According to environmental features, the well-defined groups of lakes emerged from the PCA were mainly determined by distance from the sea, pH, conductivity and salinity, and corresponded to the principal hydrological basins found in the region. Based on the results of the second PCA, littoral epilithon was affected by nitrate concentration and conductivity. In this ordination, water bodies from the same hydrological basin were separated probably as a result of a very complex inter-play of factors with a site-specific response to particular microhabitat characteristics.</t>
  </si>
  <si>
    <t>Univ Buenos Aires, Fac Ciencias Exactas &amp; Nat, Dept Ecol Genet &amp; Evolut, Buenos Aires, DF, Argentina; Consejo Nacl Invest Cient &amp; Tecn, RA-1033 Buenos Aires, DF, Argentina</t>
  </si>
  <si>
    <t>University of Buenos Aires; Consejo Nacional de Investigaciones Cientificas y Tecnicas (CONICET)</t>
  </si>
  <si>
    <t>Pizarro, H (corresponding author), Univ Buenos Aires, Fac Ciencias Exactas &amp; Nat, Dept Ecol Genet &amp; Evolut, C1428EHA, Buenos Aires, DF, Argentina.</t>
  </si>
  <si>
    <t>hay@bg.fcen.uba.ar</t>
  </si>
  <si>
    <t>WOS:000225042200020</t>
  </si>
  <si>
    <t>Davis, CH; Ferguson, AC</t>
  </si>
  <si>
    <t>Elevation change of the Antarctic ice sheet, 1995-2000, from ERS-2 satellite radar altimetry</t>
  </si>
  <si>
    <t>IEEE TRANSACTIONS ON GEOSCIENCE AND REMOTE SENSING</t>
  </si>
  <si>
    <t>elevation change; polar ice sheets; satellite radar altimetry</t>
  </si>
  <si>
    <t>MASS-BALANCE; ALGORITHM</t>
  </si>
  <si>
    <t>We analyzed Antarctic ice-sheet elevation change (dH/dt) from 1995 to 2000 using 123 million elevation change measurements from European Remote Sensing 2 ice-mode satellite radar altimeter data covering an area of about 7.2 million km(2). Almost all drainage basins in east Antarctica had average dH/dt values within +/-3.0 cm/year, whereas drainage basins in west Antarctica had substantial spatial variability with average dH/dt values ranging between -11 to +12 cm/year. The east Antarctic ice sheet had a five-year trend of 1 +/- 0.6 cm/year, where 13 out of the 14 basins had either a positive trend or a trend that was not significantly different than zero. The west Antarctic ice sheet had a five-year trend of -3.6 +/- 1.0 cm/year due largely to strong negative trends of around 10 cm/year for basins in Marie Byrd Land along the Pacific sector of the Antarctic coast. The continent as a whole had a five-year dH/dt trend of 0.4 +/- 0.4 cm/year. Finally, time series constructed for the Pine Island, Thwaites, DeVicq, and Land glaciers in west Antarctic showed five-year dH/dt trends from - 26 to - 135 cm/year that were significantly more negative than the average dH/dt trends in their respective basins. The strongly negative dH/dt values for these coastal glacier outlets are consistent with recently reported results indicating increased basal melting at these glaciers' grounding lines caused by ocean thermal forcing.</t>
  </si>
  <si>
    <t>Univ Missouri, Dept Elect &amp; Comp Engn, Columbia, MO 65211 USA; Natl Nucl Secur Adm, Radar Engn Dept, Kansas City, MO 64111 USA</t>
  </si>
  <si>
    <t>University of Missouri System; University of Missouri Columbia</t>
  </si>
  <si>
    <t>Univ Missouri, Dept Elect &amp; Comp Engn, Columbia, MO 65211 USA.</t>
  </si>
  <si>
    <t>DavisCH@missouri.edu</t>
  </si>
  <si>
    <t>IEEE-INST ELECTRICAL ELECTRONICS ENGINEERS INC</t>
  </si>
  <si>
    <t>PISCATAWAY</t>
  </si>
  <si>
    <t>445 HOES LANE, PISCATAWAY, NJ 08855-4141 USA</t>
  </si>
  <si>
    <t>0196-2892</t>
  </si>
  <si>
    <t>1558-0644</t>
  </si>
  <si>
    <t>IEEE T GEOSCI REMOTE</t>
  </si>
  <si>
    <t>IEEE Trans. Geosci. Remote Sensing</t>
  </si>
  <si>
    <t>10.1109/TGRS.2004.836789</t>
  </si>
  <si>
    <t>Geochemistry &amp; Geophysics; Engineering, Electrical &amp; Electronic; Remote Sensing; Imaging Science &amp; Photographic Technology</t>
  </si>
  <si>
    <t>Geochemistry &amp; Geophysics; Engineering; Remote Sensing; Imaging Science &amp; Photographic Technology</t>
  </si>
  <si>
    <t>871YG</t>
  </si>
  <si>
    <t>WOS:000225171900008</t>
  </si>
  <si>
    <t>Van Trappen, S; Vandecandelaere, I; Mergaert, J; Swings, J</t>
  </si>
  <si>
    <t>Algoriphagus antarcticus sp nov., a novel psychrophile from microbial mats in Antarctic lakes</t>
  </si>
  <si>
    <t>INTERNATIONAL JOURNAL OF SYSTEMATIC AND EVOLUTIONARY MICROBIOLOGY</t>
  </si>
  <si>
    <t>GEN. NOV.; MARINE BACTERIUM; FLAVOBACTERIA; DIVERSITY; WATER; DNA</t>
  </si>
  <si>
    <t>A taxonomic study was performed on six strains isolated from microbial mats of lakes Reid, Fryxell and Ace in Antarctica. Phylogenetic analysis based on 16S rRNA gene sequences indicated that these strains belonged to the family 'Flexibacteraceae' and were closely related to the recently described genera Algoriphagus and Hongiella. The isolates were Gram-negative, chemoheterotrophic, aerobic, psychrophilic, orange-red-pigmented bacteria and their DNA G + C content ranged from 39.9 to 41.0 mol%. Whole-cell fatty acid profiles included mainly branched fatty acids and summed feature 3, comprising 15 : 0 iso 20H, 16 : 1 omega7c or both. On the basis of genotypic, phenotypic, chemotaxonomic and phylogenetic, results, the novel strains were classified as Algoriphagus antarcticus sp. nov. The type strain is LIVIG 21980(T) (=DSM 15986(T) = R-10710(T)).</t>
  </si>
  <si>
    <t>Univ Ghent, Microbiol Lab, Vakgroep Biochem Fysiol &amp; Microbiol, B-9000 Ghent, Belgium</t>
  </si>
  <si>
    <t>Ghent University</t>
  </si>
  <si>
    <t>Univ Ghent, Microbiol Lab, Vakgroep Biochem Fysiol &amp; Microbiol, KL Ledeganckstr 35, B-9000 Ghent, Belgium.</t>
  </si>
  <si>
    <t>stefanie.vantrappen@UGent.be</t>
  </si>
  <si>
    <t>Vandecandelaere, Ilse/C-1507-2009</t>
  </si>
  <si>
    <t>Van Trappen, Stefanie/0000-0002-7431-4606</t>
  </si>
  <si>
    <t>MICROBIOLOGY SOC</t>
  </si>
  <si>
    <t>CHARLES DARWIN HOUSE, 12 ROGER ST, LONDON WC1N 2JU, ERKS, ENGLAND</t>
  </si>
  <si>
    <t>1466-5026</t>
  </si>
  <si>
    <t>1466-5034</t>
  </si>
  <si>
    <t>INT J SYST EVOL MICR</t>
  </si>
  <si>
    <t>Int. J. Syst. Evol. Microbiol.</t>
  </si>
  <si>
    <t>10.1099/ijs.0.02973-0</t>
  </si>
  <si>
    <t>874QX</t>
  </si>
  <si>
    <t>WOS:000225366000012</t>
  </si>
  <si>
    <t>Ulanovskii, AE; Luk'yanov, AN; Yushkov, VA; Sitnikov, NM; Volk, M; Ivanova, EV; Ravegnani, F</t>
  </si>
  <si>
    <t>Estimation of the chemical loss of ozone in the Antarctic stratosphere in the 1999 winter-spring season from direct measurements and simulations</t>
  </si>
  <si>
    <t>IZVESTIYA ATMOSPHERIC AND OCEANIC PHYSICS</t>
  </si>
  <si>
    <t>AIRCRAFT; ER-2</t>
  </si>
  <si>
    <t>Estimates of the chemical loss of ozone in the Antarctic circumpolar cyclone when there is an ozone hole are given. The ozone, water-vapor, and nitrous oxide concentrations were measured from aboard the Russian M-55 Geofizika high-altitude aircraft in September-October 1999 in the framework of the APE-GAIA (Airborne Polar Experiment-Geophysical Aircraft in Antarctica) field campaign. The cross-correlation relationships between the O-3 and N2O concentrations were used to calculate the ozone mixing ratio in the absence of ozone chemical destruction at the level of the aircraft. The behavior of the O-3, N2O, and H2O mixing ratios in the chemically disturbed region (CDR) and at its boundaries was analyzed. On September 23, 1999, the ozone and water-vapor concentrations at the CDR boundary located at the height level corresponding to a potential temperature of 450 K decreased by more than 80 and 50%, respectively. In all flights, it was found that the maximum magnitude of ozone loss increased with height to 4 ppm at the height level corresponding to 450 K, while the maximum relative loss was constant and equal to 98-100% at height levels corresponding to the temperature range 370-450 K. It was shown that the loss of ozone in the CDR was predominantly caused by chemical processes. On the basis of a trajectory chemical model, the chemical destruction of ozone during the winter-spring season under consideration was estimated for the region of the polar stratospheric vortex. These estimates correlate well with the data measured in the CDR.</t>
  </si>
  <si>
    <t>Cent Aerol Observ, Dolgoprudnyi 141700, Moscow Oblast, Russia; Inst Meteorol &amp; Geophys, D-60325 Frankfurt, Germany; Inst Sci Atmosfera Oceano, I-40129 Bologna, Italy</t>
  </si>
  <si>
    <t>Cent Aerol Observ, Ul Pervomaiskaya 3, Dolgoprudnyi 141700, Moscow Oblast, Russia.</t>
  </si>
  <si>
    <t>alexey@caomsk.mipt.ru; m.volk@meteor.uni-frankfurt.de; f.ravegnani@isac.cnr.it</t>
  </si>
  <si>
    <t>Ravegnani, Fabrizio/A-7800-2009; Lukyanov, Alexander/S-5205-2017; Ravegnani, Fabrizio/AAM-5467-2021</t>
  </si>
  <si>
    <t>Ravegnani, Fabrizio/0000-0003-0735-9297; Ravegnani, Fabrizio/0000-0003-0735-9297</t>
  </si>
  <si>
    <t>0001-4338</t>
  </si>
  <si>
    <t>1555-628X</t>
  </si>
  <si>
    <t>IZV ATMOS OCEAN PHY+</t>
  </si>
  <si>
    <t>Izv. Atmos. Ocean. Phys.</t>
  </si>
  <si>
    <t>Meteorology &amp; Atmospheric Sciences; Oceanography</t>
  </si>
  <si>
    <t>878QR</t>
  </si>
  <si>
    <t>WOS:000225662100005</t>
  </si>
  <si>
    <t>Zhadin, EA; Vargin, PN</t>
  </si>
  <si>
    <t>2002 Antarctic ozone hole</t>
  </si>
  <si>
    <t>CIRCULATION</t>
  </si>
  <si>
    <t>The relationship between interannual average monthly (September) variations in the total ozone content and zonal winds in the lower stratosphere is analyzed on the basis of both the TOMS data and the NCEP/NCAR reanalysis data for the 1979-2002 period. It is shown that, in 1988 and 2002, the increase in ozone content was due to strong zonal easterlies in the latitudinal zone 50degrees S-60degrees S, especially over South America, which resulted in a weaker isolation of the Antarctic stratospheric vortex in 1988 and 2002 in comparison with other years. With the aid of the linear regression, the observed ozone-content variations were separated into those caused by a dynamic forcing (i.e., by variations in zonal wind at a level of 30 hPa (50degrees S, 60degrees W)) and those caused by a residual forcing, which, in a certain sense, may be interpreted as the influence of chemical agents on the evolution of the Antarctic ozone hole. It is shown that the dynamic forcing had a dipole (in longitude) spatial pattern between the Drake Strait and eastern Antarctic, and its interannual variations had no significant trends in September 1979-2002. The residual forcing has a negative trend, and its pattern corresponds to the pattern of the linear trends of ozone content observed in the Southern Hemisphere. The possible mechanism of the influence of long-term variations in atmospheric dynamics that is associated with the dipole structure of sea-surface temperature (SST) anomalies on atmospheric wave activity, the ozone layer, and on the Arctic and Antarctic oscillations is discussed.</t>
  </si>
  <si>
    <t>Cent Aerol Lab, Dolgoprudnyi 141700, Moscow Oblast, Russia</t>
  </si>
  <si>
    <t>Zhadin, EA (corresponding author), Cent Aerol Lab, Pervomai Skaya Ul 3, Dolgoprudnyi 141700, Moscow Oblast, Russia.</t>
  </si>
  <si>
    <t>Vargin, Pavel N./R-1154-2018</t>
  </si>
  <si>
    <t>WOS:000225662100006</t>
  </si>
  <si>
    <t>Sakai, M; Sato, Y; Sato, S; Ihara, S; Onizuka, M; Sakakibara, Y; Takahashi, H</t>
  </si>
  <si>
    <t>Effect of relocating to areas of reduced atmospheric particulate matter levels on the human circulating leukocyte count</t>
  </si>
  <si>
    <t>JOURNAL OF APPLIED PHYSIOLOGY</t>
  </si>
  <si>
    <t>polymorphonuclear leukocytes; bone marrow; granulocyte colony-stimulating factor; interleukin-6</t>
  </si>
  <si>
    <t>COLONY-STIMULATING FACTOR; HUMAN BONE-MARROW; AIR-POLLUTION; ALVEOLAR MACROPHAGES; INTERLEUKIN-6; MORTALITY; EXPOSURE; RELEASE; PM10; CSF</t>
  </si>
  <si>
    <t>A high level of atmospheric particulate matter induces an increase in circulating polymorphonuclear leukocyte (PMN) counts and an increase in serum inflammatory cytokine levels. The particulate level in Antarctica is extremely low compared with that in industrial countries. We hypothesized that this low level would reduce circulating leukocyte counts and serum inflammatory cytokine levels in people visiting Antarctica from industrial countries. The number density of particulates with aerodynamic diameters of &lt;10.0 mu m was measured in Japan and in Antarctica during the 41st Japanese Antarctic Research Expedition. Circulating leukocyte counts, granulocyte colony-stimulating factor and interleukin-6 levels, and pulmonary function were determined at regular intervals in 39 expedition members. The particulate number density was &lt;1% of that measured in Japan. Total leukocytes, segmented and band-formed PMN, monocyte counts, and serum interleukin-6 levels decreased in Antarctica compared with the initial values measured in Japan. Pulmonary function parameters did not change except for maximal voluntary ventilation. Particulate matter levels had more significant effects on segmented PMN, band-formed PMN, and monocyte counts than cigarette smoking and the type of work. Exposure to reduced atmospheric particulates is considered to be a major factor for decreasing circulating leukocyte counts and serum cytokine levels.</t>
  </si>
  <si>
    <t>Jichi Med Sch, Dept Surg, Div Thorac Surg, Kawachi, Tochigi 3290498, Japan; Univ Tsukuba, Inst Clin Med, Dept Surg, Tsukuba, Ibaraki 3058575, Japan; Natl Inst Polar Res, Japanese Antarctic Res Expedit, Itabashi Ku, Tokyo 1738515, Japan; Saga Univ, Fac Sci &amp; Engn, Dept Elect &amp; Elect Engn, Saga 8408502, Japan; Univ Tsukuba, Inst Community Med, Dept Epidemiol &amp; Biostat, Tsukuba, Ibaraki 3058575, Japan</t>
  </si>
  <si>
    <t>Jichi Medical University; University of Tsukuba; Research Organization of Information &amp; Systems (ROIS); National Institute of Polar Research (NIPR) - Japan; Saga University; University of Tsukuba</t>
  </si>
  <si>
    <t>Jichi Med Sch, Dept Surg, Div Thorac Surg, 3311-1 Minami Kawachi, Kawachi, Tochigi 3290498, Japan.</t>
  </si>
  <si>
    <t>tcvysato@jichi.ac.jp</t>
  </si>
  <si>
    <t>AMER PHYSIOLOGICAL SOC</t>
  </si>
  <si>
    <t>BETHESDA</t>
  </si>
  <si>
    <t>9650 ROCKVILLE PIKE, BETHESDA, MD 20814 USA</t>
  </si>
  <si>
    <t>8750-7587</t>
  </si>
  <si>
    <t>1522-1601</t>
  </si>
  <si>
    <t>J APPL PHYSIOL</t>
  </si>
  <si>
    <t>J. Appl. Physiol.</t>
  </si>
  <si>
    <t>10.1152/japplphysiol.00024.2004</t>
  </si>
  <si>
    <t>Physiology; Sport Sciences</t>
  </si>
  <si>
    <t>860RV</t>
  </si>
  <si>
    <t>WOS:000224361700031</t>
  </si>
  <si>
    <t>Brandefelt, J; Källén, E</t>
  </si>
  <si>
    <t>The response of the Southern Hemisphere atmospheric circulation to an enhanced greenhouse gas forcing</t>
  </si>
  <si>
    <t>LOW-FREQUENCY VARIABILITY; NORTHERN-HEMISPHERE; CLIMATE-CHANGE; ANNULAR MODES; EXTRATROPICAL CIRCULATION; PERSISTENT ANOMALIES; ARCTIC OSCILLATION; SULFATE AEROSOLS; ANTARCTIC WINTER; WEATHER REGIMES</t>
  </si>
  <si>
    <t>The response of the atmospheric circulation to an enhanced radiative greenhouse gas forcing is investigated. It has been proposed that the response of the climate system to an enhanced forcing projects directly onto the preexisting natural modes of variability. An evaluation of this possibility and in particular of the implications of unchanged flow regimes is performed with a focus on the Southern Hemisphere extratropical atmospheric circulation. Low-pass-filtered mean sea level pressure and geopotential height at 500 and 200 hPa from a transient integration with a coupled global climate model is used. The response to an enhanced forcing projects strongly onto the leading modes of present-day variability, in agreement with other studies. However, the spatial patterns of the leading modes are changed in response to enhanced forcing. The first and second modes of interweekly variability are the Pacific-South American modes, zonal wavenumber-3 wave trains from the central Pacific to the southern Atlantic. In response to the enhanced forcing, the spatial patterns of these modes change, and the wave train extends along a circumpolar path with amplitude also in the Eastern Hemisphere. This change in the spatial patterns is associated with a strengthening of the waveguide for barotropic Rossby waves.</t>
  </si>
  <si>
    <t>Stockholm Univ, Dept Meteorol, S-10691 Stockholm, Sweden</t>
  </si>
  <si>
    <t>Stockholm Univ, Dept Meteorol, S-10691 Stockholm, Sweden.</t>
  </si>
  <si>
    <t>jenny@misu.su.se</t>
  </si>
  <si>
    <t>10.1175/3221.1</t>
  </si>
  <si>
    <t>874YF</t>
  </si>
  <si>
    <t>WOS:000225385900009</t>
  </si>
  <si>
    <t>Sato, K; Charrassin, JB; Bost, CA; Naito, Y</t>
  </si>
  <si>
    <t>Why do macaroni penguins choose shallow body angles that result in longer descent and ascent durations?</t>
  </si>
  <si>
    <t>dive; acceleration; data logger; stroke; buoyancy; gliding; horizontal transit; penguin; Eudyptes chrysolophus</t>
  </si>
  <si>
    <t>ANTARCTIC FUR SEALS; DIVING BEHAVIOR; EUDYPTES-CHRYSOLOPHUS; ADELIE PENGUINS; PYGOSCELIS-PAPUA; GENTOO PENGUINS; SWIMMING SPEED; SOUTH GEORGIA; TIME; PERFORMANCE</t>
  </si>
  <si>
    <t>It is generally assumed that air-breathing aquatic animals always choose the shortest route to minimize duration for transit between the surface and foraging depth in order to maximize the proportion of time spent foraging. However, empirical data indicate that the body angles of some diving animals are rarely vertical during descent and ascent. Why do they choose shallower body angles that result in longer descent and ascent durations? To investigate this question, we attached acceleration data loggers to eight female macaroni penguins, breeding on the Kerguelen Islands (48degrees45'-50degrees00' S, 68degrees45'-70degrees58' E; South Indian Ocean), to record depth, two-dimensional acceleration (stroke cycle frequency and body angle) and temperature. We investigated how they controlled body angle and allocated their submerged time. The instrumented females performed multiple dives (N=6952) with a mean dive depth for each bird ranging from 24.5 +/- 28.5 m to 56.4 +/- 75.1 m. Mean body angles during descent and ascent were not vertical. There was large variation in mean descent and ascent angles for a given dive depth, which, in turn, caused large variation in descent and ascent duration. Body angles were significantly correlated with time spent at the bottomphase of the dive. Birds that spent long periods at the bottom exhibited steep body angles during ascent and subsequent descent. By contrast, they adopted shallow body angles after they had short or no bottom phases. Our results suggest that macaroni penguins stay at the bottom longer after encountering a good prey patch and then travel to the surface at steep body angles. If they do not encounter prey, they discontinue the dive, without staying at the bottom, ascend at shallow body angles and descend at shallow body angles in a subsequent dive. A shallow body angle can increase the horizontal distance covered during a dive, contributing to the move into a more profitable area in the following dive. During the ascent, in particular, macaroni penguins stopped beating their flippers. The buoyantly gliding penguins can move horizontally with minimum stroking effort before reaching the surface.</t>
  </si>
  <si>
    <t>Natl Inst Polar Res, Tokyo 1738515, Japan; Museum Natl Hist Nat, Dept Milieux &amp; Peuplements Aquat, F-75231 Paris 05, France; CNRS, Ctr Ecol &amp; Physiol Energet, F-67087 Strasbourg, France</t>
  </si>
  <si>
    <t>Research Organization of Information &amp; Systems (ROIS); National Institute of Polar Research (NIPR) - Japan; Museum National d'Histoire Naturelle (MNHN); Universites de Strasbourg Etablissements Associes; Universite de Strasbourg; Centre National de la Recherche Scientifique (CNRS)</t>
  </si>
  <si>
    <t>Univ Tokyo, Int Coastal Res Ctr, Ocean Res Inst, 2-106-1 Akahama, Otsuchi, Iwate 0281102, Japan.</t>
  </si>
  <si>
    <t>katsu@wakame.ori.u-tokyo.ac.jp</t>
  </si>
  <si>
    <t>10.1242/jeb.01265</t>
  </si>
  <si>
    <t>880GA</t>
  </si>
  <si>
    <t>WOS:000225775800015</t>
  </si>
  <si>
    <t>Marchal, O; Nycander, J</t>
  </si>
  <si>
    <t>Nonuniform upwelling in a shallow-water model of the Antarctic bottom water in the Brazil Basin</t>
  </si>
  <si>
    <t>WESTERN NORTH-ATLANTIC; ABYSSAL OCEAN; POTENTIAL VORTICITY; SOUTH-ATLANTIC; BAROCLINIC STRUCTURE; GENERAL CIRCULATION; DRIVEN CIRCULATION; MESOSCALE EDDIES; DEEP CIRCULATION; ROUGH TOPOGRAPHY</t>
  </si>
  <si>
    <t>A numerical model based on the shallow-water equations is developed to represent the flow of Antarctic Bottom Water (AABW) in the Brazil Basin (southwest Atlantic Ocean). The aim is twofold. First, an attempt is made to identify in a model that includes both simplified dynamics and realistic bathymetry (at 1/68 resolution) the impacts of the elevated diapycnal mixing rates near the Mid-Atlantic Ridge ( MAR) documented by dissipation data of the Deep Basin Experiment (DBE). To this end, different assumptions regarding the distribution of the velocity across the AABW layer interface (w) are considered. Second, the extent to which the shallow-water model can replicate observations relative to AABW circulation in the basin, in particular the trajectory and velocity of neutrally buoyant floats released in the AABW during the DBE, is examined. The model flows are characterized by small Rossby numbers, except in the northward-flowing western boundary current where kinetic energy is largely concentrated. To interpret the flows, model streamlines are compared with isopleths of linear potential vorticity f/h(0) of the shallow-water theory (f is the planetary vorticity and h(0) is the layer thickness in the absence of motion). The f/h(0) contours are oriented northwest-southeast in the western part of the basin and southwest-northeast in the eastern part, reflecting the bowl-shaped topography of the Southern Hemisphere basin. With a spatially uniform (positive) w, the ubiquitous vortex stretching produces a flow to the southeast, consistent with the Stommel-Arons theory. This flow occurs in most of the basin interior, even in the east where f/h(0) contours converge to the northeastern end of the basin. With strongly positive w near the ridge and zero or slightly negative w elsewhere, the flow follows more closely f/h(0) contours in the western interior and intersects them near the ridge. The confinement of the diapycnal mass flux near the MAR drastically reduces the southward flow in the interior or even reverses its direction, leading to a circulation quite distinct from that of the Stommel-Arons theory. The model results compare favorably to some (but not all) hydrographic estimates of AABW circulation patterns and rates. On the other hand, the model streamlines and velocities show important differences with, respectively, the trajectory and the velocity of the floats launched in the AABW layer. The prescription of vanishing w in the interior does not systematically improve the fit of the model streamlines to the float trajectories, and the model velocities simulated with spatially uniform w or spatially variable w are on average smaller by one order of magnitude than the float velocities. A variety of mechanisms, which are not included in the numerical experiments, may explain the differences between the model results and the float data.</t>
  </si>
  <si>
    <t>Woods Hole Oceanog Inst, Dept Geol &amp; Geophys, Woods Hole, MA 02543 USA; Univ Stockholm, Dept Meteorol, S-10691 Stockholm, Sweden</t>
  </si>
  <si>
    <t>Woods Hole Oceanographic Institution; Stockholm University</t>
  </si>
  <si>
    <t>Woods Hole Oceanog Inst, Dept Geol &amp; Geophys, Woods Hole, MA 02543 USA.</t>
  </si>
  <si>
    <t>omarchal@whoi.edu</t>
  </si>
  <si>
    <t>Nycander, Jonas/E-1334-2011</t>
  </si>
  <si>
    <t>Nycander, Jonas/0000-0002-4414-6859</t>
  </si>
  <si>
    <t>10.1175/JPO2643.1</t>
  </si>
  <si>
    <t>877QK</t>
  </si>
  <si>
    <t>WOS:000225584900011</t>
  </si>
  <si>
    <t>Patria, MP; Wiese, K</t>
  </si>
  <si>
    <t>Swimming in formation in krill (Euphausiacea), a hypothesis: dynamics of the flow field, properties of antennular sensor systems and a sensory-motor link</t>
  </si>
  <si>
    <t>VERTICAL MIGRATION; ANTARCTIC KRILL; MEGANYCTIPHANES-NORVEGICA; SUPERBA; CRAYFISH; MOVEMENTS; BEHAVIOR; DISPLACEMENT; INHIBITION; PREDATORS</t>
  </si>
  <si>
    <t>The act of swimming in formation by species such as Euphausia superba, Antarctic krill, is assumed to be regulated by a sensitivity to the characteristic and spatially elaborate flow field produced by this species of shrimp. We used a related species, Meganyctiphanes, North Atlantic krill, to visualize the flow field produced by tethered shrimps in an aquarium. In this situation, the propulsion jet flow some centimeters behind the shrimp is surrounded by a vortex ring of recoiling water motion from which, if the vortex is also produced by unrestrained swimming shrimp, a following shrimp hypothetically can draw forces of lift and propulsion to decrease energy expense in long-distance migration. Two antennular sensitivities to water vibration in frequency ranges 5-40 and 40-150 Hz were calibrated, and the activity of connected interneurons was traced into the abdominal pleopod-carrying segments. Water oscillation of 3-10 Hz frequency, applied to the antennules, was shown to entrain a closely synchronous pleopod beat in the stimulated specimens.</t>
  </si>
  <si>
    <t>Univ Hamburg, Inst Zool, D-20146 Hamburg, Germany; Univ Hamburg, Museum Zool, D-20146 Hamburg, Germany</t>
  </si>
  <si>
    <t>University of Hamburg; University of Hamburg</t>
  </si>
  <si>
    <t>Wiese, K (corresponding author), Univ Hamburg, Inst Zool, Martin Luther King Pl 3, D-20146 Hamburg, Germany.</t>
  </si>
  <si>
    <t>kwiese@zoologie.uni-hamburg.de</t>
  </si>
  <si>
    <t>Patria, Mufti P/GNW-4754-2022</t>
  </si>
  <si>
    <t>Patria, Mufti P/0000-0001-8648-9529</t>
  </si>
  <si>
    <t>10.1093/plankt/fbh122</t>
  </si>
  <si>
    <t>873DO</t>
  </si>
  <si>
    <t>WOS:000225259800006</t>
  </si>
  <si>
    <t>Goodchild, A; Raftery, M; Saunders, NFW; Guilhaus, M; Cavicchioli, R</t>
  </si>
  <si>
    <t>Biology of the cold adapted archaeon, Methanococcoides burtonii determined by proteomics using liquid chromatography-tandem mass spectrometry</t>
  </si>
  <si>
    <t>JOURNAL OF PROTEOME RESEARCH</t>
  </si>
  <si>
    <t>proteome; LC/LC-MS/MS; archaea; methanogen; psychrophile; relative synonymous codon usage; proteasome/exosome superoperon; archaeal biology; transposon expression</t>
  </si>
  <si>
    <t>PROTEIN IDENTIFICATION TECHNOLOGY; METHANOGENIC ARCHAEON; ESCHERICHIA-COLI; METHANOSARCINA-THERMOPHILA; SULFOLOBUS-SOLFATARICUS; ANTARCTIC ARCHAEON; CRYSTAL-STRUCTURE; TEMPERATURE; JANNASCHII; GENOME</t>
  </si>
  <si>
    <t>Genome sequence data of the cold-adapted archaeon, Methanococcoides burtonii, was linked to liquid chromatography-mass spectrometry analysis of the expressed-proteome to define the key biological processes functioning at 4 degreesC. 528 proteins ranging in p/ from 3.5 to 13.2, and 3.5-230 kDa, were identified. 133 identities were for hypothetical proteins, and the analysis of these is described separately (Goodchild et al. manuscript in preparation). DNA replication and cell division involves eucaryotic-like histone and MC1-family DNA binding proteins, and 2 bacterial-like FtsZ proteins. Eucaryotic-like, core RNA polymerase machinery, a bacterial-like antiterminator, and numerous bacterial-like regulators enable transcription. Motility involves flagella synthesis regulated by a bacterial-like chemotaxis system. Lsmalpha and Lsmgamma were coexpressed raising the possibility of homo- and hetero-oligomeric complexes functioning in RNA processing. Expression of FKBP-type and cyclophilin-type peptidyl-prolyl cis-trans isomerases highlights the importance of protein folding, and novel characteristics of folding in the cold. Thirteen proteins from a superoperon system encoding proteasome and exosome subunits were expressed, supporting the functional interaction of transcription and translation pathways in archaea. Proteins involved in every step of methylotropic methanogenesis were identified. CO2 appears to be fixed by a modified Calvin cycle, and by carbon monoxide clehydrogenase. Biosynthesis involves acetylCoA conversion to pyruvate by a non-oxidative pentose phosphate pathway, and gluconeogenesis for the conversion of pyruvate to carbohydrates. An incomplete TCA cycle may supply biosynthetic intermediates for amino acid biosynthesis. A novel finding was the expression of Tn11- and Tn12-family transposases, which has implications for genetic diversity and fitness of natural populations. Characteristics of the fundamental cellular processes inferred from the expressed-proteome highlight the evolutionary and functional complexity existing in this domain of life.</t>
  </si>
  <si>
    <t>Univ New S Wales, Sch Biotechnol &amp; Biomol Sci, Sydney, NSW 2052, Australia; Univ New S Wales, Bioanalyt Mass Spectrometry Facil, Sydney, NSW 2052, Australia</t>
  </si>
  <si>
    <t>University of New South Wales Sydney; University of New South Wales Sydney</t>
  </si>
  <si>
    <t>Saunders, Neil FW/B-5325-2010; Cavicchioli, Ricardo/D-4341-2013</t>
  </si>
  <si>
    <t>Saunders, Neil/0000-0003-2139-6107; Cavicchioli, Ricardo/0000-0001-8989-6402</t>
  </si>
  <si>
    <t>1535-3893</t>
  </si>
  <si>
    <t>1535-3907</t>
  </si>
  <si>
    <t>J PROTEOME RES</t>
  </si>
  <si>
    <t>J. Proteome Res.</t>
  </si>
  <si>
    <t>10.1021/pr0498988</t>
  </si>
  <si>
    <t>Biochemical Research Methods</t>
  </si>
  <si>
    <t>881EX</t>
  </si>
  <si>
    <t>WOS:000225847300008</t>
  </si>
  <si>
    <t>Raiteri, S</t>
  </si>
  <si>
    <t>Neotopia color manga: Vol. 2, antarctic</t>
  </si>
  <si>
    <t>LIBRARY JOURNAL</t>
  </si>
  <si>
    <t>Green Cty Publ Lib, Xenia, OH USA</t>
  </si>
  <si>
    <t>Raiteri, S (corresponding author), Green Cty Publ Lib, Xenia, OH USA.</t>
  </si>
  <si>
    <t>REED BUSINESS INFORMATION</t>
  </si>
  <si>
    <t>360 PARK AVENUE SOUTH, NEW YORK, NY 10010 USA</t>
  </si>
  <si>
    <t>0363-0277</t>
  </si>
  <si>
    <t>LIBR J</t>
  </si>
  <si>
    <t>Libr. J.</t>
  </si>
  <si>
    <t>Information Science &amp; Library Science</t>
  </si>
  <si>
    <t>Social Science Citation Index (SSCI)</t>
  </si>
  <si>
    <t>867FI</t>
  </si>
  <si>
    <t>WOS:000224827400049</t>
  </si>
  <si>
    <t>Ott, S</t>
  </si>
  <si>
    <t>Early stages of development in Usnea antarctica Du Rietz in the South Shetland Islands, northern maritime Antarctica</t>
  </si>
  <si>
    <t>LICHENOLOGIST</t>
  </si>
  <si>
    <t>adaptation; culture experiments; differentiation; growth; lichens; maritime Antarctic; soredia; Usnea antarctica</t>
  </si>
  <si>
    <t>JUVENILE DEVELOPMENT; LICHENS</t>
  </si>
  <si>
    <t>Juvenile development has been investigated for the first time in an Antarctic lichen species-Usnea antarctica-in the northern maritime Antarctic, Livingston Island (South Shetland Islands, 62degrees27'-62degrees48'S, 59degrees45'-61degrees15'W). Here, U. antarctica grows on rocks and forms the dominant vegetation on this site together with a few other macrolichens. This species reproduces mainly by vegetative diaspores (soredia), which include both the photobiont and the mycobiont. To understand the early ontogenetic strategies in U. antarctica, culture experiments were performed in an Antarctic field site where the species occurs naturally. This paper focuses on the different developmental steps seen between the initial colonization of soredia to the formation of a small well-developed thallus, and also on the growth rate of the respective juvenile stages. Compared with growth rates of lichens from temperate European regions the early development of U. antarctica is extraordinarily slow, taking 5-6 years until an adult thallus has been formed. The low photobiont content in the juvenile stages probably limits the growth rate. It is suggested that juvenile development of U. antarctica is controlled by a combination of ecophysiological and morphological adaptations that are required for success in extreme environments such as the terrestrial habitats of the Antarctic.</t>
  </si>
  <si>
    <t>Univ Dusseldorf, Inst Bot, D-40225 Dusseldorf, Germany</t>
  </si>
  <si>
    <t>Heinrich Heine University Dusseldorf</t>
  </si>
  <si>
    <t>Ott, S (corresponding author), Univ Dusseldorf, Inst Bot, Univ Str 1, D-40225 Dusseldorf, Germany.</t>
  </si>
  <si>
    <t>EDINBURGH BLDG, SHAFTESBURY RD, CB2 8RU CAMBRIDGE, ENGLAND</t>
  </si>
  <si>
    <t>0024-2829</t>
  </si>
  <si>
    <t>1096-1135</t>
  </si>
  <si>
    <t>Lichenologist</t>
  </si>
  <si>
    <t>10.1017/S0024282904014380</t>
  </si>
  <si>
    <t>Plant Sciences; Mycology</t>
  </si>
  <si>
    <t>877CF</t>
  </si>
  <si>
    <t>WOS:000225544700008</t>
  </si>
  <si>
    <t>Lesser, MP; Lamare, MD; Barker, MF</t>
  </si>
  <si>
    <t>Transmission of ultraviolet radiation through the Antarctic annual sea ice and its biological effects on sea urchin embryos</t>
  </si>
  <si>
    <t>LIMNOLOGY AND OCEANOGRAPHY</t>
  </si>
  <si>
    <t>AMINO-ACIDS; OZONE-DEPLETION; STRONGYLOCENTROTUS-DROEBACHIENSIS; STERECHINUS-NEUMAYERI; MCMURDO SOUND; MARINE ORGANISMS; PYRIMIDINE DIMER; DNA-DAMAGE; PHYTOPLANKTON; PROTECTION</t>
  </si>
  <si>
    <t>Stratospheric ozone depletion over Antarctica is expected to continue for the next 50 years, with increases in ecologically damaging ultraviolet radiation (UVR: 290-400 nm), specifically the ultraviolet-B (UVB: 290-320 nm) portion of the spectrum. Most of coastal Antarctica is covered with 2-3 m of annual sea ice during the occurrence of the ozone hole. This physical barrier to UVR transmission has long been assumed to provide complete protection from the biologically damaging effects of UVR, especially for the planktonic developmental stages of the benthic invertebrate fauna. We found that short-wavelength UVB (down to 304 nm) is transmitted through the Austral spring annual ice of McMurdo Sound, and causes significant mortality and DNA damage in the embryos of the sea urchin Sterechinus neumayeri. Although mortality of sea urchin embryos has been reported for the open waters of the Antarctic, this is the first documentation of mortality and DNA damage for embryos under the annual sea ice. The degree of mortality and DNA damage was dependent on both year and depth, with higher mortality and DNA damage at 1 m depth below the ice compared to 3 m and 5 m. Greater DNA damage occurred in 2003 compared to 2002 despite the thicker annual ice (3.1 m vs. 2.5 m). Although the thickness of the annual ice was greater, the severity of the ozone hole, 230 Dobson units (DU) versus 320 DU, and the ratio of UVB to visible radiation was greater in 2003. Embryo and larval mortality from exposure to UVR under the annual ice should be considered as another abiotic factor potentially affecting the temporally episodic recruitment of invertebrates that occur in this benthic ecosystem.</t>
  </si>
  <si>
    <t>Univ New Hampshire, Dept Zool, Durham, NH 03824 USA; Univ New Hampshire, Ctr Marine Biol, Durham, NH 03824 USA; Univ Otago, Dept Marine Sci, Dunedin, New Zealand</t>
  </si>
  <si>
    <t>University System Of New Hampshire; University of New Hampshire; University System Of New Hampshire; University of New Hampshire; University of Otago</t>
  </si>
  <si>
    <t>Lesser, MP (corresponding author), Univ New Hampshire, Dept Zool, Durham, NH 03824 USA.</t>
  </si>
  <si>
    <t>mpl@cisunix.unh.edu</t>
  </si>
  <si>
    <t>Lamare, Miles M/A-7020-2010</t>
  </si>
  <si>
    <t>Lamare, Miles/0000-0001-8656-7240</t>
  </si>
  <si>
    <t>AMER SOC LIMNOLOGY OCEANOGRAPHY</t>
  </si>
  <si>
    <t>WACO</t>
  </si>
  <si>
    <t>5400 BOSQUE BLVD, STE 680, WACO, TX 76710-4446 USA</t>
  </si>
  <si>
    <t>0024-3590</t>
  </si>
  <si>
    <t>LIMNOL OCEANOGR</t>
  </si>
  <si>
    <t>Limnol. Oceanogr.</t>
  </si>
  <si>
    <t>10.4319/lo.2004.49.6.1957</t>
  </si>
  <si>
    <t>Limnology; Oceanography</t>
  </si>
  <si>
    <t>871MF</t>
  </si>
  <si>
    <t>WOS:000225137100006</t>
  </si>
  <si>
    <t>Blain, S; Guieu, U; Claustre, H; Leblanc, K; Moutin, T; Quéguiner, B; Ras, J; Sarthou, G</t>
  </si>
  <si>
    <t>Availability of iron and major nutrients for phytoplankton in the northeast Atlantic Ocean</t>
  </si>
  <si>
    <t>ANTARCTIC SOUTHERN-OCEAN; MARINE-PHYTOPLANKTON; MEDITERRANEAN SEA; UPWELLING REGIME; PACIFIC-OCEAN; INDIAN SECTOR; LIMITATION; GROWTH; WATERS; FERTILIZATION</t>
  </si>
  <si>
    <t>Because of recent findings that Fe is a limiting factor for phytoplankton activity even at relatively high dissolved iron (DFe) concentrations, the potential importance of Fe limitation was revisited in the northeast Atlantic Ocean (39-45degreesN, 17-21degreesW). We report data gathered during deck incubation experiments performed at three stations in February-March 2001 with surface seawater containing DFe concentrations of similar to0.40 nmol L-1. At all stations, Fe addition enhanced phytoplankton growth. Fe limitation was moderate and occurred simultaneously with limitation by major nutrients. This was clearly demonstrated for diatoms that were colimited by orthosilicic acid. Micro-, nano-, and picoplankton benefited from Fe enrichment. Experiments performed with the trihydroxamate siderophore desferrioxamine mesylate B (DFOB) indicated that Fe reserves exist within the cells, especially within the larger cells. This reserve could result from luxurious storage of Fe by colimited cells during episodic atmospheric deposition of Saharan dust. Simulating concentrations of dust resulting from aerosol deposition in well-stratified surface waters, we determined that the solubility of Saharan dust was very low (&lt;0.1% w/w) but the amount of DFe released in seawater was sufficient to relieve the Fe limitation of the ambient phytoplankton community.</t>
  </si>
  <si>
    <t>Lab Oceanog &amp; Biogeochim, F-13288 Marseille 09, France; CNRS, FRE 2317, LOV, Observ Oceanol, F-06238 Villefranche Sur Mer, France; CNRS, UMR 6539, LEMAR, F-29280 Plouzane, France</t>
  </si>
  <si>
    <t>Centre National de la Recherche Scientifique (CNRS); Sorbonne Universite; Centre National de la Recherche Scientifique (CNRS); CNRS - Institute of Ecology &amp; Environment (INEE); Universite de Bretagne Occidentale; Ifremer; Institut de Recherche pour le Developpement (IRD)</t>
  </si>
  <si>
    <t>Lab Oceanog &amp; Biogeochim, Parc Sci &amp; Technol Luminy,Case 901, F-13288 Marseille 09, France.</t>
  </si>
  <si>
    <t>Leblanc, Karine/C-6029-2009; Claustre, Herve/JPL-2367-2023; CLAUSTRE, Herve/E-6877-2011; Quéguiner, Bernard/B-4060-2008; blain, stephane/F-6917-2010</t>
  </si>
  <si>
    <t>CLAUSTRE, Herve/0000-0001-6243-0258; Quéguiner, Bernard/0000-0001-5020-8297; Guieu, Cecile/0000-0001-6373-8326; Sarthou, Geraldine/0000-0001-6560-6669; blain, stephane/0000-0002-5234-2446</t>
  </si>
  <si>
    <t>1939-5590</t>
  </si>
  <si>
    <t>10.4319/lo.2004.49.6.2095</t>
  </si>
  <si>
    <t>WOS:000225137100018</t>
  </si>
  <si>
    <t>Oliver, JL; Barber, RT; Smith, WO; Ducklow, HW</t>
  </si>
  <si>
    <t>The heterotrophic bacterial response during the Southern Ocean Iron Experiment (SOFeX)</t>
  </si>
  <si>
    <t>DISSOLVED ORGANIC-MATTER; EQUATORIAL PACIFIC-OCEAN; ROSS SEA; MARINE-BACTERIA; BACTERIOPLANKTON PRODUCTION; ENRICHMENT EXPERIMENT; COMMUNITY STRUCTURE; SARGASSO SEA; CARBON; PHYTOPLANKTON</t>
  </si>
  <si>
    <t>We studied heterotrophic bacterial dynamics as part of the Southern Ocean Iron Experiment (SOFeX), January-February 2002. Two phytoplankton blooms were monitored following infusions with iron sulfate (FeSO(4)). The first bloom was initiated north of the Antarctic Polar Front Zone (APFZ) in silica-poor waters (North Patch) and was observed sporadically over 42 d, whereas the second was south of the APFZ in silica-rich waters (South Patch) and was continuously observed for 30 d. In both experiments, iron additions resulted in increased chlorophyll a (Chl a), particulate organic matter (POC + PN), and a drawdown of inorganic nutrients. Heterotrophic bacteria responded by increasing their abundance (110% and 60% increases in bacterial abundance in the North and South Patch, respectively, relative to nonenriched waters). Thymidine (TdR) and leucine (Leu) incorporation rates in the North Patch increased by 400% and 120%, respectively, with more modest increases in the South Patch (80% and 70%, respectively). In the South Patch, bacterial production (BP) was significantly correlated with net particulate primary production (PP) and Chl a. Bacterial abundance was also significantly correlated with Chl a. Net bacterial accumulation rate in the South Patch was 0.02 d(-1) over 17 d, excluding physical dilution by mixing with water outside the South Patch. The evidence suggests that bacterial growth during Southern Ocean Iron Experiment (SOFeX) was limited by labile carbon rather than by iron. Despite the close association of BP to PP, BP remained a small fraction of PP (&lt;10%).</t>
  </si>
  <si>
    <t>Virginia Inst Marine Sci, Coll William &amp; Mary, Gloucester Point, VA 23062 USA; Duke Univ, Nicholas Sch Environm &amp; Earth Sci, Beaufort, NC 28516 USA</t>
  </si>
  <si>
    <t>William &amp; Mary; Virginia Institute of Marine Science; Duke University</t>
  </si>
  <si>
    <t>Oliver, JL (corresponding author), Virginia Inst Marine Sci, Coll William &amp; Mary, Gloucester Point, VA 23062 USA.</t>
  </si>
  <si>
    <t>jloliver@vims.edu</t>
  </si>
  <si>
    <t>10.4319/lo.2004.49.6.2129</t>
  </si>
  <si>
    <t>WOS:000225137100021</t>
  </si>
  <si>
    <t>Arnold, KH; Shreeve, RS; Atkinson, A; Clarke, A</t>
  </si>
  <si>
    <t>Growth rates of Antarctic krill, Euphausia superba:: Comparison of the instantaneous growth rate method with nitrogen and phosphorus stoichiometry</t>
  </si>
  <si>
    <t>ELEMENTAL COMPOSITION; METABOLIC RATES; SOUTH-GEORGIA; DANA; ZOOPLANKTON; CARBON; LIMITATION; POPULATION; DAPHNIA; SUMMER</t>
  </si>
  <si>
    <t>Zooplankton growth rates are hard to measure directly, and proxy measurements are desirable to encompass the variety of species and scales of interest. The growth rate hypothesis of stoichiometric theory states that a negative relationship exists between nitrogen: phosphorus (N: P) stoichiometry and growth rate, driven by cellular ribosomal ribonucleic acid (rRNA) content. Despite the wealth of literature on the growth rate hypothesis, there exist no practical demonstrations of its use in the marine literature. We thus investigated whether this hypothesis could be the basis of a technique to estimate growth rates of Euphausia superba by comparing, for the same individual krill, elemental stoichiometry and growth rates derived from the instantaneous growth rate (IGR) method. These growth rates were the first IGR measurements from South Georgia; from within a restricted area over the course of just 1 month, these rates were highly variable, from negative to near maximum rates recorded for the species. Although there were significant differences in N: P ratio and phosphorus content between individuals and schools, there was no relationship between N: P ratio and growth rate when data were grouped by school. Thus, our data do not support the predictions of the growth rate hypothesis at an intraspecific scale. However, when all data were pooled, the mean values of growth rate and N: P ratio did fit the interspecific relationship established previously for freshwater zooplankton. We suggest that krill maintain the biochemical machinery for high growth potential and maintain high growth in summer to take advantage of short-term fluctuations in food.</t>
  </si>
  <si>
    <t>British Antarctic Survey, Nat Environm Res Council, Cambridge CB3 0ET, England</t>
  </si>
  <si>
    <t>British Antarctic Survey, Nat Environm Res Council, High Cross,Madingley Rd, Cambridge CB3 0ET, England.</t>
  </si>
  <si>
    <t>kharn@bas.ac.uk</t>
  </si>
  <si>
    <t>10.4319/lo.2004.49.6.2152</t>
  </si>
  <si>
    <t>WOS:000225137100023</t>
  </si>
  <si>
    <t>[Anonymous]</t>
  </si>
  <si>
    <t>Scientists report increased thinning of West Antarctic glaciers</t>
  </si>
  <si>
    <t>9-10</t>
  </si>
  <si>
    <t>875KT</t>
  </si>
  <si>
    <t>WOS:000225419800006</t>
  </si>
  <si>
    <t>Hughes, KA</t>
  </si>
  <si>
    <t>Reducing sewage pollution in the Antarctic marine environment using a sewage treatment plant</t>
  </si>
  <si>
    <t>Antarctica; coliforms; faecal pollution; seawater; sewage outfall; sewage treatment plant</t>
  </si>
  <si>
    <t>ENTERIC BACTERIA; RESEARCH STATION; MCMURDO-STATION; SURVIVAL; OUTFALL; SEA</t>
  </si>
  <si>
    <t>Despite Antarctica being the largest pristine wilderness on Earth, many coastal Antarctic research stations release untreated sewage waste into the marine environment, which may have negative effects on local wildlife. In February 2003 a sewage treatment plant was installed at Rothera Research Station (Adelaide Island, Antarctic Peninsula). After one year of operation the sewage treatment plant had dramatically reduced the microbiological pollution in the near-shore marine environment around the outfall and seawater quality conformed to European Union Bathing Water Standards. (C) 2004 Elsevier Ltd. All rights reserved.</t>
  </si>
  <si>
    <t>British Antarctic Survey, NERC, Madingley Rd,High Cross, Cambridge CB3 0ET, England.</t>
  </si>
  <si>
    <t>kehu@bas.ac.uk</t>
  </si>
  <si>
    <t>Hughes, Kevin/JVZ-0793-2024</t>
  </si>
  <si>
    <t>10.1016/j.marpolbul.2004.05.012</t>
  </si>
  <si>
    <t>WOS:000225419800032</t>
  </si>
  <si>
    <t>Brown, S</t>
  </si>
  <si>
    <t>Experiences in Antarctic whaling in the days of its decline</t>
  </si>
  <si>
    <t>MARINERS MIRROR</t>
  </si>
  <si>
    <t>SOC NAUTICAL RESEARCH</t>
  </si>
  <si>
    <t>NATIONAL MARITIME MUSEUM GREENWICH, LONDON SE10 9NF, ENGLAND</t>
  </si>
  <si>
    <t>0025-3359</t>
  </si>
  <si>
    <t>Mar. Mirror</t>
  </si>
  <si>
    <t>History</t>
  </si>
  <si>
    <t>Arts &amp; Humanities Citation Index (A&amp;HCI)</t>
  </si>
  <si>
    <t>871JI</t>
  </si>
  <si>
    <t>WOS:000225126900011</t>
  </si>
  <si>
    <t>Greenwood, RC; Franchi, IA</t>
  </si>
  <si>
    <t>Alteration and metamorphism of CO3 chondrites: Evidence from oxygen and carbon isotopes</t>
  </si>
  <si>
    <t>METEORITICS &amp; PLANETARY SCIENCE</t>
  </si>
  <si>
    <t>AQUEOUS ALTERATION; WEATHERING PRODUCTS; NITROGEN ISOTOPE; RICH INCLUSIONS; PARENT BODIES; HOT ACCRETION; METEORITES; MATRIX; OLIVINE; MINERALOGY</t>
  </si>
  <si>
    <t>Carbonaceous chondrites of the Ornans-type (CO3) form a well-documented metamorphic series. To investigate the conditions under which metamorphism took place, whole rock oxygen and carbon isotope analysis has been carried out on 10 CO3 chondrites (ALH A77307 [3.0], Colony [3.0], Kainsaz* [3.1], Felix* [3.2], Ornans* [3.3], ALH 82101 [3.3], Lance* [3.4], ALH A77003 [3.5], Warrenton* [3.6], and Isna [3.7] [*denotes a fall]). Whole rock oxygen isotope analysis was carried out by laser-assisted fluorination, whole rock carbon isotope analysis by continuous flow mass spectrometry. The results of this study indicate that the oxygen and carbon isotopes in CO3 finds have been significantly disturbed by terrestrial weathering processes. Conclusions based on the isotopic composition of such weathered finds may be significantly flawed. In particular, the Antarctic meteorite ALH A77307 (3.0), suggested as being close in composition to CO-CM chondrite precursor material, has experienced significant terrestrial contamination. Oxygen isotope data for CO3 falls indicates that there is a subtle increase in Delta(17)O values with increasing metamorphic grade for sub-types 3.1 to 3.4. This increase does not persist to higher sub-types, i.e., Warrenton (3.6). These relationships are explicable in terms of the progressive formation of phyllosilicates, coupled with loss of primary phases such as melilite, and suggest that an aqueous fluid phase was present during metamorphism. Carbon abundance and delta(13)C values of CO3 falls decrease with increasing metamorphic grade. These trends reflect progressive changes in the nature of the organic macromolecular component during metamorphic heating and lend additional support to the evidence that CO3 chondrites are part of a metamorphic series. The most likely setting for metamorphism was on the CO3 parent body. The Ornans paradox, whereby Ornans (3.3) should belong to a higher sub-type based on chemical compared to petrographic evidence, may result from local-scale redox differences on the CO3 parent body. A wide variety of classification schemes have been proposed for CO3 chondrites. In view of its simplicity and applicability, the scheme of Scott and Jones (1990) is regarded as the most useful in assigning sub-types to new CO3 samples.</t>
  </si>
  <si>
    <t>Open Univ, Planetary &amp; Space Sci Res Inst, Milton Keynes MK7 6AA, Bucks, England</t>
  </si>
  <si>
    <t>Open University - UK</t>
  </si>
  <si>
    <t>Greenwood, RC (corresponding author), Open Univ, Planetary &amp; Space Sci Res Inst, Walton Hall, Milton Keynes MK7 6AA, Bucks, England.</t>
  </si>
  <si>
    <t>R.C.Greenwood@open.ac.uk</t>
  </si>
  <si>
    <t>Greenwood, Richard/0000-0002-5544-8027</t>
  </si>
  <si>
    <t>METEORITICAL SOC</t>
  </si>
  <si>
    <t>FAYETTEVILLE</t>
  </si>
  <si>
    <t>DEPT CHEMISTRY/BIOCHEMISTRY, UNIV ARKANSAS, FAYETTEVILLE, AR 72701 USA</t>
  </si>
  <si>
    <t>1086-9379</t>
  </si>
  <si>
    <t>METEORIT PLANET SCI</t>
  </si>
  <si>
    <t>Meteorit. Planet. Sci.</t>
  </si>
  <si>
    <t>10.1111/j.1945-5100.2004.tb00078.x</t>
  </si>
  <si>
    <t>886FC</t>
  </si>
  <si>
    <t>WOS:000226211300005</t>
  </si>
  <si>
    <t>Matrajt, G; Pizzarello, S; Taylor, S; Brownlee, D</t>
  </si>
  <si>
    <t>Concentration and variability of the AIB amino acid in polar micrometeorites: Implications for the exogenous delivery of amino acids to the primitive Earth</t>
  </si>
  <si>
    <t>ALPHA-AMINOISOBUTYRIC-ACID; MURCHISON METEORITE; ANTARCTIC MICROMETEORITES; CARBONACEOUS CHONDRITES; PREBIOTIC SYNTHESIS; ATMOSPHERIC ENTRY; ORGANIC-MOLECULES; ACCRETION RATE; LIFE; ORIGIN</t>
  </si>
  <si>
    <t>Micrometeorites (MMs) are extraterrestrial particles ranging in size from 25 mum to 2 mm that survive atmospheric entry and are collected on the Earth's surface. They represent the largest mass flux (MF) of extraterrestrial material (30,000 +/- 20,000 t/yr) to the present-day Earth. Studies of large collections of MMs suggest that about 20% have not been heated to high temperatures and that they contain organic carbon. Since non-protein amino acids have been found in some carbonaceous meteorites, they might also be found in unmelted MMs. However, previous searches for amino acids in MMs were inconclusive. We combined a new extraction method for amino acids with a highly sensitive analytical method to detect and quantitate amino acids in MMs collected at the South Pole. We found the non-protein amino acid alpha-amino isobutyric acid (AIB) in one of our samples. The non-detection of this amino acid in the other samples analyzed suggests that there are amino acid-containing and amino acid-free MMs, with similar to 14% of the MMs containing AIB. Since the MF of MMs is much higher than that of carbonaceous chondrites (CMs), amino acids in these small particles would represent an important source of exogenous delivery of organic molecules. Therefore, the results are discussed on the basis of their implications for astrobiology.</t>
  </si>
  <si>
    <t>Univ Washington, Dept Astron, Seattle, WA 98195 USA; Univ Paris 11, Inst Astrophys Spatiale, F-91405 Orsay, France; Arizona State Univ, Dept Chem &amp; Biochem, Tempe, AZ 85287 USA; USA, Cold Reg Res &amp; Engn Lab, Hanover, NH 03766 USA</t>
  </si>
  <si>
    <t>University of Washington; University of Washington Seattle; Sorbonne Universite; Universite Paris Saclay; Arizona State University; Arizona State University-Tempe; United States Department of Defense; United States Army; U.S. Army Corps of Engineers; U.S. Army Engineer Research &amp; Development Center (ERDC); Cold Regions Research &amp; Engineering Laboratory (CRREL)</t>
  </si>
  <si>
    <t>Univ Washington, Dept Astron, Seattle, WA 98195 USA.</t>
  </si>
  <si>
    <t>graciela.matrajt@ias.u-psud.fr</t>
  </si>
  <si>
    <t>Matrajt, Graciela/A-4812-2017</t>
  </si>
  <si>
    <t>1945-5100</t>
  </si>
  <si>
    <t>10.1111/j.1945-5100.2004.tb00080.x</t>
  </si>
  <si>
    <t>WOS:000226211300007</t>
  </si>
  <si>
    <t>Shaw, PW; Arkhipkin, AI; Al-Khairulla, H</t>
  </si>
  <si>
    <t>Genetic structuring of Patagonian toothfish populations in the Southwest Atlantic Ocean: the effect of the Antarctic Polar Front and deep-water troughs as barriers to genetic exchange</t>
  </si>
  <si>
    <t>MOLECULAR ECOLOGY</t>
  </si>
  <si>
    <t>Antarctic Polar Front; microsatellite DNA; mtDNA; Patagonian toothfish; sex-biased dispersal</t>
  </si>
  <si>
    <t>MICROSATELLITE DNA MARKERS; DISSOSTICHUS-ELEGINOIDES; MITOCHONDRIAL-DNA; SOUTHERN-OCEAN; MARINE; IDENTIFICATION; RETENTION; PATTERNS; ISLANDS; FISHES</t>
  </si>
  <si>
    <t>The environmental and/or life history factors affecting genetic exchange in marine species with potential for high dispersal are of great interest, not only from an evolutionary standpoint but also with regard to effective management. Previous genetic studies have demonstrated substantial differentiation among populations of the Patagonian toothfish around the Southern Ocean, indicating breakdown of gene flow across large distances between inhabited shelf areas. The present study examined genetic structuring through analysis of microsatellite loci and restriction fragment length poymorphism (RFLP) of the mitochondrial ND2 gene and control region of the toothfish population in the SW Atlantic, allowing examination of the relative effects of the Antarctic Polar Front (APF), deep-water troughs and distance between sites. Mitochondrial DNA (mtDNA) data indicated a sharp genetic division between the Patagonian Shelf/North Scotia Ridge and the Shag Rocks/South Georgia samples, whereas microsatellite data showed much less distinct structuring and an intermediate position of the North Scotia Ridge samples. We suggest these data indicate that the APF, as a barrier to larval dispersal, is the major inhibitor of genetic exchange between toothfish populations, with deep-water troughs and distance between sites contributing to genetic differentiation by inhibiting migration of relatively sedentary adults. We also suggest that differences between mtDNA and nuclear DNA population patterns may reflect either genome population size effects or (putative) male-biased dispersal.</t>
  </si>
  <si>
    <t>Univ London Royal Holloway &amp; Bedford New Coll, Sch Biol Sci, Egham TW20 0EX, Surrey, England; Falkland Isl Govt Fisheries Dept, FIPASS, Stanley, Falkland Island, England</t>
  </si>
  <si>
    <t>University of London; Royal Holloway University London</t>
  </si>
  <si>
    <t>Shaw, PW (corresponding author), Univ London Royal Holloway &amp; Bedford New Coll, Sch Biol Sci, Egham TW20 0EX, Surrey, England.</t>
  </si>
  <si>
    <t>p.shaw@rhul.ac.uk</t>
  </si>
  <si>
    <t>Shaw, Paul/0000-0003-2637-6332</t>
  </si>
  <si>
    <t>0962-1083</t>
  </si>
  <si>
    <t>MOL ECOL</t>
  </si>
  <si>
    <t>Mol. Ecol.</t>
  </si>
  <si>
    <t>10.1111/j.1365-294X.2004.02327.x</t>
  </si>
  <si>
    <t>Biochemistry &amp; Molecular Biology; Ecology; Evolutionary Biology</t>
  </si>
  <si>
    <t>Biochemistry &amp; Molecular Biology; Environmental Sciences &amp; Ecology; Evolutionary Biology</t>
  </si>
  <si>
    <t>862XF</t>
  </si>
  <si>
    <t>WOS:000224524000004</t>
  </si>
  <si>
    <t>Ikeda-Fukazawa, T; Kawamura, K; Hondoh, T</t>
  </si>
  <si>
    <t>Mechanism of molecular diffusion in ice crystals</t>
  </si>
  <si>
    <t>MOLECULAR SIMULATION</t>
  </si>
  <si>
    <t>Joint Meeting of the International Conference on Molecular Simulation/Computational Science Workshop</t>
  </si>
  <si>
    <t>JAN 13-15, 2004</t>
  </si>
  <si>
    <t>Tsukuba, JAPAN</t>
  </si>
  <si>
    <t>molecular diffusion; ice Ih; molecular dynamics; air molecules; hydrogen bond</t>
  </si>
  <si>
    <t>ANTARCTIC ICE; IH</t>
  </si>
  <si>
    <t>We used molecular dynamics (MD) simulations to investigate the diffusion of O-2, N-2, CH4, and CO2 in a crystal of ice Ih. The results show that the diffusion mechanism for the molecules differs significantly from the interstitial mechanism that applies to small atoms such as helium. The air molecules hopped between stable sites by a new mechanism called the breaking-bond mechanism in which hydrogen bonds in the lattice are broken. The diffusion coefficients determined from the MD calculations are several orders of magnitude larger than the estimates under the assumption of the interstitial mechanism. We conclude that the repulsive interactive between the air and water molecules in ice is the dominant factor governing the diffusion mechanism.</t>
  </si>
  <si>
    <t>Japan Sci &amp; Technol Agcy, Inst Stat Math, PRESTO, Tokyo 1068569, Japan; Tokyo Inst Technol, Dept Earth &amp; Planetary Sci, Tokyo 1528551, Japan; Hokkaido Univ, Inst Low Temp Sci, Sapporo, Hokkaido 0600819, Japan</t>
  </si>
  <si>
    <t>Japan Science &amp; Technology Agency (JST); Research Organization of Information &amp; Systems (ROIS); Institute of Statistical Mathematics (ISM) - Japan; Tokyo Institute of Technology; Hokkaido University</t>
  </si>
  <si>
    <t>Japan Sci &amp; Technol Agcy, Inst Stat Math, PRESTO, Tokyo 1068569, Japan.</t>
  </si>
  <si>
    <t>fukazawa@ism.ac.jp</t>
  </si>
  <si>
    <t>HONDOH, Takeo/E-7551-2011</t>
  </si>
  <si>
    <t>HONDOH, Takeo/0000-0003-4129-022X; Ikeda-Fukazawa, Tomoko/0000-0002-5265-4706</t>
  </si>
  <si>
    <t>0892-7022</t>
  </si>
  <si>
    <t>1029-0435</t>
  </si>
  <si>
    <t>MOL SIMULAT</t>
  </si>
  <si>
    <t>Mol. Simul.</t>
  </si>
  <si>
    <t>13-15</t>
  </si>
  <si>
    <t>10.1080/08927020410001709307</t>
  </si>
  <si>
    <t>Chemistry, Physical; Physics, Atomic, Molecular &amp; Chemical</t>
  </si>
  <si>
    <t>Chemistry; Physics</t>
  </si>
  <si>
    <t>879XC</t>
  </si>
  <si>
    <t>WOS:000225751600025</t>
  </si>
  <si>
    <t>Lomakin, PD; Samyshev, EZ</t>
  </si>
  <si>
    <t>Oceanographic conditions in the region of the South Shetland and South Orkney Islands in March-April 1997 and 1998 and their influence on the distribution of krill and salps</t>
  </si>
  <si>
    <t>OCEANOLOGY</t>
  </si>
  <si>
    <t>The results of biological oceanographic studies in the Scotia and Weddell seas in the region of the South Shetland and South Orkney island arcs carried out within the program of the first two Ukrainian marine Antarctic expeditions in March-April 1997 and 1998 are described. The regularities of the spatial distribution of krill and salp aggregations depending on the abiotic (hydrophysical) properties of the environment are distinguished. The characteristics of the aggregations of the biological objects studied and their variability in the time interval considered are given. The possible mechanisms facilitating the formation and spreading of krill and salp aggregations in the Antarctic waters are discussed. It is shown that the shelves of the South Shetland and South Orkney islands remain perspective regions for fishery in the Atlantic sector of Antarctica.</t>
  </si>
  <si>
    <t>Natl Acad Sci Ukraine, Inst Marine Hydrophys, Sevastopol, Ukraine; Natl Acad Sci Ukraine, Inst Biol So Seas, Sevastopol, Ukraine</t>
  </si>
  <si>
    <t>National Academy of Sciences Ukraine; Russian Academy of Sciences; AO Kovalevsky Institute of Biology of the Southern Seas of RAS (IBSS); National Academy of Sciences Ukraine</t>
  </si>
  <si>
    <t>Lomakin, PD (corresponding author), Natl Acad Sci Ukraine, Inst Marine Hydrophys, Sevastopol, Ukraine.</t>
  </si>
  <si>
    <t>Samyshev, Ernest/C-9078-2018</t>
  </si>
  <si>
    <t>Samyshev, Ernest/0000-0001-6979-6172</t>
  </si>
  <si>
    <t>INTERPERIODICA</t>
  </si>
  <si>
    <t>BIRMINGHAM</t>
  </si>
  <si>
    <t>PO BOX 1831, BIRMINGHAM, AL 35201-1831 USA</t>
  </si>
  <si>
    <t>0001-4370</t>
  </si>
  <si>
    <t>OCEANOLOGY+</t>
  </si>
  <si>
    <t>Oceanology</t>
  </si>
  <si>
    <t>883BE</t>
  </si>
  <si>
    <t>WOS:000225984200008</t>
  </si>
  <si>
    <t>Frolov, IE; Sokolov, VT; Mel'nikov, IA; Shevchenko, VP</t>
  </si>
  <si>
    <t>North Pole-32 drifting research station</t>
  </si>
  <si>
    <t>Arctic &amp; Antarctic Res Inst, Russian Fed Serv Hydrometeorol &amp; Environm Monitor, St Petersburg 199226, Russia; Russian Acad Sci, PP Shirshov Oceanol Inst, Moscow, Russia</t>
  </si>
  <si>
    <t>Arctic &amp; Antarctic Research Institute; Russian Academy of Sciences; Shirshov Institute of Oceanology</t>
  </si>
  <si>
    <t>Frolov, IE (corresponding author), Arctic &amp; Antarctic Res Inst, Russian Fed Serv Hydrometeorol &amp; Environm Monitor, St Petersburg 199226, Russia.</t>
  </si>
  <si>
    <t>Shevchenko, Vladimir/C-2096-2014</t>
  </si>
  <si>
    <t>Shevchenko, Vladimir/0000-0002-9045-297X</t>
  </si>
  <si>
    <t>WOS:000225984200014</t>
  </si>
  <si>
    <t>Cunningham, L; McMinn, A</t>
  </si>
  <si>
    <t>The influence of natural environmental factors on benthic diatom communities from the Windmill Islands, Antarctica</t>
  </si>
  <si>
    <t>PHYCOLOGIA</t>
  </si>
  <si>
    <t>EASTERN ANTARCTICA; VESTFOLD HILLS; CASEY-STATION; SEA; PHYTOPLANKTON; ASSEMBLAGES; OCEAN</t>
  </si>
  <si>
    <t>The species composition of benthic diatom communities responds rapidly to environmental change. At four shallow benthic sites in the Windmill Islands, Casey, East Antarctica, redundancy analysis indicated that changes in sediment grain-size, light availability and water depth account for 30% of the variation observed in the relative abundances of diatom taxa. The amount of mud (&lt; 63 mum) present within the sediments explained 18% of the variation in the relative abundances of diatom species observed in samples from all four locations. Within two locations, the amount of mud present explained 25% or more of the total variation in relative species abundance observed. Differences between locations explained 28% of the variation observed in relative species abundance; however, the majority of this was due to changes in gram-size, light availability and depth between the locations. It is unclear what other parameters contribute to observed differences between locations.</t>
  </si>
  <si>
    <t>Univ Tasmania, Inst Antarctic &amp; So Ocean Studies, Hobart, Tas 7000, Australia; Australian Antarctic Div, Kingston, Tas 7050, Australia</t>
  </si>
  <si>
    <t>Univ Tasmania, Inst Antarctic &amp; So Ocean Studies, Box 252-77, Hobart, Tas 7000, Australia.</t>
  </si>
  <si>
    <t>andrew.mcminn@utas.edu.au</t>
  </si>
  <si>
    <t>McMinn, Andrew/A-9910-2008</t>
  </si>
  <si>
    <t>Cunningham, Laura Kay/0000-0001-6591-4610</t>
  </si>
  <si>
    <t>ALLEN PRESS INC</t>
  </si>
  <si>
    <t>LAWRENCE</t>
  </si>
  <si>
    <t>810 E 10TH ST, LAWRENCE, KS 66044 USA</t>
  </si>
  <si>
    <t>0031-8884</t>
  </si>
  <si>
    <t>Phycologia</t>
  </si>
  <si>
    <t>10.2216/i0031-8884-43-6-744.1</t>
  </si>
  <si>
    <t>886IQ</t>
  </si>
  <si>
    <t>WOS:000226220900013</t>
  </si>
  <si>
    <t>Coleman, RS; Day, TA</t>
  </si>
  <si>
    <t>Response of cotton and sorghum to several levels of subambient solar UV-B radiation: a test of the saturation hypothesis</t>
  </si>
  <si>
    <t>PHYSIOLOGIA PLANTARUM</t>
  </si>
  <si>
    <t>BLUE-GREEN FLUORESCENCE; LEAF EPIDERMAL TRANSMITTANCE; ANTARCTIC VASCULAR PLANTS; GOSSYPIUM-HIRSUTUM L.; BARLEY PRIMARY LEAVES; BOUND FERULIC ACID; CHLOROPHYLL FLUORESCENCE; AUXIN TRANSPORT; SCREENING EFFECTIVENESS; ULTRAVIOLET-RADIATION</t>
  </si>
  <si>
    <t>Some have proposed that plant responses to above-ambient or supplemented levels of solar ultraviolet-B radiation (UV-B; 280-315 nm) are typically subtle because targets or receptors in plants become saturated. If true, in solar UV-B filter exclusion experiments we would expect that plant responses would level off or 'saturate' as doses approached ambient levels. To test this so-called 'saturation hypothesis' we examined the response of Gossypium hirsutum (cotton) and Sorghum bicolor (sorghum) to filter exclusions that provided five levels of biologically effective UV-B, ranging from 36 to 91% of ambient solar levels in Arizona, USA. UV-B dose had no effect on biomass production of either species. As UV-B dose increased or approached ambient, individual leaves of S. bicolor were smaller, but plants produced more tillers and leaves. In G. hirsutum, individual leaves as well as total plant leaf area were smaller, but plants produced more branches. Bulk concentrations of soluble UV-B absorbing compounds increased with UV-B dose in both species. Leaf epidermal UV-B transmittance, assessed with the chlorophyll fluorescence technique, declined with increasing UV-B dose, and was well correlated with bulk concentrations of soluble UV-B screening compounds. Bulk concentrations of insoluble or wall-bound UV-B absorbing compounds were not affected by UV-B dose. The intensity of UV-induced blue fluorescence from leaf surfaces was strongly correlated with bulk concentrations of wall-bound UV-B absorbing compounds, and this signal has the potential to provide a rapid, non-invasive method to estimate concentrations of these compounds, which are time-consuming to extract. While both species were responsive to solar UV-B, responses did not appear to become saturated as doses approached ambient levels. Rather, responses required a threshold dose of &gt;70% of solar ambient UV-B levels before they became apparent.</t>
  </si>
  <si>
    <t>Arizona State Univ, Sch Life Sci, Tempe, AZ 85287 USA</t>
  </si>
  <si>
    <t>Arizona State University; Arizona State University-Tempe</t>
  </si>
  <si>
    <t>Arizona State Univ, Sch Life Sci, POB 874501, Tempe, AZ 85287 USA.</t>
  </si>
  <si>
    <t>tadday@asu.edu</t>
  </si>
  <si>
    <t>Day, Thomas/B-1462-2008</t>
  </si>
  <si>
    <t>Day, Thomas/0000-0002-1582-4585</t>
  </si>
  <si>
    <t>0031-9317</t>
  </si>
  <si>
    <t>1399-3054</t>
  </si>
  <si>
    <t>PHYSIOL PLANTARUM</t>
  </si>
  <si>
    <t>Physiol. Plant.</t>
  </si>
  <si>
    <t>10.1111/j.1399-3054.2004.00411.x</t>
  </si>
  <si>
    <t>861TY</t>
  </si>
  <si>
    <t>WOS:000224442700009</t>
  </si>
  <si>
    <t>Giordano, CV; Galatro, A; Puntarulo, S; Ballaré, CL</t>
  </si>
  <si>
    <t>The inhibitory effects of UV-B radiation (280-315 nm) on Gunnera magellanica growth correlate with increased DNA damage but not with oxidative damage to lipids</t>
  </si>
  <si>
    <t>PLANT CELL AND ENVIRONMENT</t>
  </si>
  <si>
    <t>ascorbic acid; ascorbyl radical; cyclobutane-pyrimidine dimer; electronic-paramagnetic resonance; lipid peroxidation; oxidative stress; UV-B</t>
  </si>
  <si>
    <t>ANTARCTIC VASCULAR PLANTS; FUEGO SOUTHERN ARGENTINA; ULTRAVIOLET-B; OZONE DEPLETION; PHOTOSYNTHETIC ORGANISMS; TERRESTRIAL ECOSYSTEMS; LEAF DEVELOPMENT; ACTIVE OXYGEN; STRESS; FIELD</t>
  </si>
  <si>
    <t>Damage to DNA and disruption of membrane integrity by lipid peroxidation processes are two of the proposed causes of UV-B-induced growth inhibition in plants. However, the relative significance of these different types of molecular damage has not been established in experiments carried out under realistic physiological conditions. Plants of Gunnera magellanica (a native herb from southern Patagonia) were exposed to a gradient of biologically effective UV-B doses (from 0 to 6.5 kJ m(-2) d(-1) of UV-B-be) in a greenhouse study. Leaf expansion was measured and sensitive techniques were used to detect damage to DNA (in the form of cyclobutane pyrimidine dimers; CPDs) and lipid peroxidation (via electronic-paramagnetic resonance; EPR). Leaf expansion decreased and the CPD density increased with increasing UV-B doses, but the degree of lipid peroxidation remained unaffected. The highest UV-B dose induced a transient oxidative stress situation (as evaluated using the ratio of ascorbyl radical to ascorbate, A(.)/AH(-)), which was rapidly controlled by an increase in the ascorbate pool. The present results suggest that under a range of UV-B-be doses that overlaps the range of doses that G. magellanica plants experience in their natural environment, growth inhibition is better explained by DNA damage than by increased lipid peroxidation.</t>
  </si>
  <si>
    <t>Consejo Nacl Invest Cient &amp; Tecn, IFEVA, RA-1417 Buenos Aires, DF, Argentina; Univ Buenos Aires, RA-1417 Buenos Aires, DF, Argentina; Consejo Nacl Invest Cient &amp; Tecn, FisicoQuim PRALIB, RA-1113 Buenos Aires, DF, Argentina; Univ Buenos Aires, Fac Farm &amp; Bioquim, RA-1113 Buenos Aires, DF, Argentina</t>
  </si>
  <si>
    <t>Consejo Nacional de Investigaciones Cientificas y Tecnicas (CONICET); University of Buenos Aires; University of Buenos Aires; Consejo Nacional de Investigaciones Cientificas y Tecnicas (CONICET); University of Buenos Aires</t>
  </si>
  <si>
    <t>Consejo Nacl Invest Cient &amp; Tecn, IFEVA, Ave San Martin 453, RA-1417 Buenos Aires, DF, Argentina.</t>
  </si>
  <si>
    <t>ballare@ifeva.edu.ar</t>
  </si>
  <si>
    <t>Giordano, Cristiana/ABG-1160-2020; Ballare, Carlos/F-5141-2011</t>
  </si>
  <si>
    <t>Giordano, Cristiana/0000-0002-9710-0336; Giordano, Carla/0000-0001-7298-9725; Ballare, Carlos/0000-0001-9129-4531; Galatro, Andrea/0000-0002-7411-847X</t>
  </si>
  <si>
    <t>0140-7791</t>
  </si>
  <si>
    <t>1365-3040</t>
  </si>
  <si>
    <t>PLANT CELL ENVIRON</t>
  </si>
  <si>
    <t>Plant Cell Environ.</t>
  </si>
  <si>
    <t>10.1111/j.1365-3040.2004.01244.x</t>
  </si>
  <si>
    <t>872DY</t>
  </si>
  <si>
    <t>WOS:000225188800009</t>
  </si>
  <si>
    <t>Cantero, ALP</t>
  </si>
  <si>
    <t>How rich is the deep-sea Antarctic benthic hydroid fauna?</t>
  </si>
  <si>
    <t>GENUS SCHIZOTRICHA ALLMAN; STAUROTHECA ALLMAN; OSWALDELLA STECHOW; 1919 CNIDARIA; SERTULARIIDAE; EXPEDITIONS</t>
  </si>
  <si>
    <t>The bathymetric distribution of the 155 known species of Antarctic benthic hydroids has been studied with the aim of determining bathymetric groups and estimating the richness of the deep-sea Antarctic benthic hydroid fauna. Six bathymetric groups could be recognized on the basis of vertical zonation patterns. Most species have wide bathymetric ranges, but must nevertheless be considered shelf species. Although 62 species of benthic hydroids have been found in the Antarctic deep-sea, only 10 are strict inhabitants of that area. An inverse relative dominance between anthoathecate and leptothecate hydroids has been observed, with the former being more frequent in shallow waters.</t>
  </si>
  <si>
    <t>Univ Valencia, Inst Cavanilles Biodivers &amp; Biol Evolut, Valencia 46071, Spain</t>
  </si>
  <si>
    <t>University of Valencia</t>
  </si>
  <si>
    <t>Univ Valencia, Inst Cavanilles Biodivers &amp; Biol Evolut, Apdo Correos 22085, Valencia 46071, Spain.</t>
  </si>
  <si>
    <t>alvaro.l.pena@uv.es</t>
  </si>
  <si>
    <t>Cantero, Álvaro Luis Peña/F-7888-2016</t>
  </si>
  <si>
    <t>Pena Cantero, Alvaro/0000-0003-3056-6673</t>
  </si>
  <si>
    <t>10.1007/s00300-004-0654-9</t>
  </si>
  <si>
    <t>870IH</t>
  </si>
  <si>
    <t>WOS:000225050300005</t>
  </si>
  <si>
    <t>Ju, SJ; Scolardi, K; Daly, KL; Harvey, HR</t>
  </si>
  <si>
    <t>Understanding the trophic role of the Antarctic ctenophore, Callianira antarctica, using lipid biomarkers</t>
  </si>
  <si>
    <t>FATTY-ACID COMPOSITION; FLAME IONIZATION DETECTION; JELLYFISH AURELIA-AURITA; KRILL EUPHAUSIA-SUPERBA; MARGINAL ICE-ZONE; CALANUS-PROPINQUUS; CALANOIDES-ACUTUS; ECOLOGICAL IMPLICATIONS; GELATINOUS ZOOPLANKTON; PLEUROBRACHIA-PILEUS</t>
  </si>
  <si>
    <t>To better understand the trophic role of ctenophores in Antarctica during austral fall and winter, a major species of cydippid ctenophore, Callianira antarctica, was collected during April/May (fall) and August/September (winter) 2002 in the vicinity of Marguerite Bay. Lipid content, lipid classes, fatty acids, fatty alcohols and sterols were analyzed in animals, together with lipid biomarkers in krill and copepod species representing potential ctenophore prey. Lipid content in ctenophores collected in winter was slightly higher than from animals in fall (4.8 and 3.5% of dry weight, respectively). Polar lipids were the dominant lipid class in ctenophores, accounting for over half of the lipid content, with significant amounts of free fatty alcohols (more than 10% of total lipid content) detected. Lipid-class composition, however, differed significantly between seasons, with significant amounts of neutral lipid (wax esters and triacylglycerols) only detected in animals from fall. Although the dominant lipid classes in ctenophores varied between fall and winter, individual lipids (i.e., fatty acids, alcohols and sterols) showed only minor changes between seasons. Specifically, long-chain polyunsaturated fatty acids [20:5(n-3) and 22:6(n-3)] found in high abundance in larval krill were also elevated in ctenophores collected in winter. Very high amounts of monounsaturated fatty alcohols, particularly 20:1(n-9) and 22:1(n-11), known to be important components of wax esters in calanoid copepods, were also observed. Multivariate analysis using the suite of lipids found indicated that copepods are an important diet item for ctenophores in the study area. Results further suggest that C. antarctica feed actively year-round, with larval krill providing a food resource during austral winter.</t>
  </si>
  <si>
    <t>Univ Maryland, Ctr Environm Sci, Chesapeake Biol Lab, Solomons, MD 20688 USA; Univ S Florida, Coll Marine Sci, St Petersburg, FL 33701 USA</t>
  </si>
  <si>
    <t>University System of Maryland; University of Maryland Center for Environmental Science; State University System of Florida; University of South Florida</t>
  </si>
  <si>
    <t>Univ Maryland, Ctr Environm Sci, Chesapeake Biol Lab, POB 38, Solomons, MD 20688 USA.</t>
  </si>
  <si>
    <t>harvey@cbl.umces.edu</t>
  </si>
  <si>
    <t>Ju, Se-Jong/A-9029-2009</t>
  </si>
  <si>
    <t>Scolardi, Kerri M./0009-0000-5927-7790</t>
  </si>
  <si>
    <t>10.1007/s00300-004-0652-y</t>
  </si>
  <si>
    <t>WOS:000225050300007</t>
  </si>
  <si>
    <t>Goldsworthy, SD; Lea, MA; Guinet, C</t>
  </si>
  <si>
    <t>Comparison of mass-transfer and isotopic dilution methods for estimating milk intake in Antarctic fur seal pups</t>
  </si>
  <si>
    <t>ARCTOCEPHALUS-GAZELLA PUPS; AMSTERDAM ISLAND; ELEPHANT SEAL; CALLORHINUS-URSINUS; GROWTH EFFICIENCY; MACQUARIE ISLAND; BODY-COMPOSITION; WATER; TROPICALIS; ENERGETICS</t>
  </si>
  <si>
    <t>The efficacy of a new mass-transfer method for estimating milk intake was examined in Antarctic fur seals (Arctocephalus gazella) at Iles Kerguelen. Our method differed from previous mass-transfer approaches in that we estimated milk-mass transfer as the maternal mass lost (MML; kg) during an attendance bout, less the mass lost to metabolic maintenance (MMLE) over that time. MML was significantly related to pup mass-gain (PMG) and attendance bout duration (d days) as follows: MML=1.106PMG+1.002d (r(2)=0.998). Based on this and previous studies, we estimated that the MMLE was 0.0285 kg kg(-1) day(-1) for lactating females; and we developed the following milk-mass transfer equation: MMLM=1.106PMG+1.002d-0.0285MM d (where MM is maternal mass). Milk-mass intake was also estimated in an additional 21 pups, using the isotopic dilution method. These values were then compared with estimates based on the milk mass-transfer equation for the same individual pups. A pair-wise comparison indicated that milk-mass transfer estimated using tritium dilution methods were significantly lower than those based on mass-transfer (MMLM). Furthermore, the absolute PMG exceeded tritium dilution estimates of milk-mass transfer in 35% of cases. In contrast, all milk-mass transfer estimates using the mass transfer method were greater than PMG. Overestimation of metabolic water production (MWP), leading to a smaller proportion of the total water intake being attributed to milk ingestion, is believed to be the most likely cause for significant underestimation of milk-mass transfer using the tritium dilution method. Consumption of exogenous water by pups is the most likely reason for the overestimation of MWP, although errors in estimated milk water content may have also contributed to underestimates. We conclude that, in our study, the mass-transfer method provided a more reliable estimate of milk-mass transfer than the isotopic dilution method; and we argue that, under certain conditions, it provides a practical alternative method where the assumptions of isotopic dilution methodology (e.g., all exogenous water from maternal milk) and quantitative parameters (e.g., maternal milk water content) may either be violated or impractical to measure.</t>
  </si>
  <si>
    <t>La Trobe Univ, Dept Zool, Sea Mammal Ecol Grp, Bundoora, Vic 3068, Australia; Univ Tasmania, Sch Zool, Antarctic Wildlife Res Unit, Hobart, Tas 7001, Australia; CNRS, Ctr Etud Biol Chize, F-79360 Beauvoir Sur Niort, France</t>
  </si>
  <si>
    <t>La Trobe University; University of Tasmania; Centre National de la Recherche Scientifique (CNRS)</t>
  </si>
  <si>
    <t>Goldsworthy, SD (corresponding author), S Australian Res &amp; Dev Inst, POB 120, Henley Beach, SA 5022, Australia.</t>
  </si>
  <si>
    <t>goldsworthy.simon@saugov.sa.gov.au</t>
  </si>
  <si>
    <t>Guinet, Christophe/AAR-8457-2020; Lea, Mary-Anne/E-9054-2013</t>
  </si>
  <si>
    <t>Lea, Mary-Anne/0000-0001-8318-9299; Goldsworthy, Simon/0000-0003-4988-9085</t>
  </si>
  <si>
    <t>10.1007/s00300-004-0648-7</t>
  </si>
  <si>
    <t>WOS:000225050300009</t>
  </si>
  <si>
    <t>Stephenson, MH; Williams, M; Monaghan, AA; Arkley, S; Smith, RA; Dean, M; Browne, MAE; Leng, M</t>
  </si>
  <si>
    <t>Palynomorph and ostracod biostratigraphy of the Ballagan Formation, Midland Valley of Scotland, and elucidation of intra-Dinantian unconformities</t>
  </si>
  <si>
    <t>PROCEEDINGS OF THE YORKSHIRE GEOLOGICAL SOCIETY</t>
  </si>
  <si>
    <t>An interdisciplinary biostratigraphical study of Tournaisian-early Visean sedimentary rocks from six sections in central Scotland has established the ranges of important palynomorph and ostracod taxa that can be used to refine the existing palynomorph-based biozonation scheme. The work highlights the value of joint ostracod-palynomorph studies in correlating sequences where a single biostratigraphical discipline alone cannot provide the resolution needed. To this end, a new joint palynomorph/ostracod stratigraphical assemblage, the Acanthotriletes cf. macrogaleatus - Sulcella affiliata Assemblage, has been established. This assemblage correlates with the upper part of the CM Biozone and allows the CM-Pu biozonal boundary to be positioned more reliably in the Midland Valley of Scotland (MVS) than previously. The distribution of the assemblage, and the palaeontological characteristics of the Ballagan Formation and stratigraphically higher formations in the Dinantian of the MVS, show that significant but localized hiatuses, correlating with the Pu, TS and TC biozones, occur in parts of the western MVS, while generally smaller hiatuses, correlating with the TS Biozone and possibly part of the Pu Biozone, exist in the east of the MVS and in parts of the Cockburnspath Outlier (Dunbar-Oldhamstocks Basin).</t>
  </si>
  <si>
    <t>British Geol Survey, NERC, Isotope Geochem Lab, Keyworth NG12 5GG, Notts, England; British Antarctic Survey, Geol Sci Div, Cambridge CB3 0ET, England; British Geol Survey, Murchison House, Edinburgh EH9 3LA, Midlothian, Scotland</t>
  </si>
  <si>
    <t>UK Research &amp; Innovation (UKRI); Natural Environment Research Council (NERC); NERC British Geological Survey; UK Research &amp; Innovation (UKRI); Natural Environment Research Council (NERC); NERC British Antarctic Survey; UK Research &amp; Innovation (UKRI); Natural Environment Research Council (NERC); NERC British Geological Survey</t>
  </si>
  <si>
    <t>British Geol Survey, NERC, Isotope Geochem Lab, Keyworth NG12 5GG, Notts, England.</t>
  </si>
  <si>
    <t>mhste@bgs.ac.uk</t>
  </si>
  <si>
    <t>Williams, Mark/B-7590-2009</t>
  </si>
  <si>
    <t>Williams, Mark/0000-0002-7987-6069; Leng, Melanie/0000-0003-1115-5166</t>
  </si>
  <si>
    <t>GEOLOGICAL SOC PUBL HOUSE</t>
  </si>
  <si>
    <t>BATH</t>
  </si>
  <si>
    <t>UNIT 7, BRASSMILL ENTERPRISE CENTRE, BRASSMILL LANE, BATH BA1 3JN, AVON, ENGLAND</t>
  </si>
  <si>
    <t>0044-0604</t>
  </si>
  <si>
    <t>P YORKS GEOL SOC</t>
  </si>
  <si>
    <t>Proc. Yorks. Geol. Soc.</t>
  </si>
  <si>
    <t>10.1144/pygs.55.2.131</t>
  </si>
  <si>
    <t>893JO</t>
  </si>
  <si>
    <t>WOS:000226715300004</t>
  </si>
  <si>
    <t>Stephenson, MH; Williams, M; Leng, MJ; Monaghan, AA</t>
  </si>
  <si>
    <t>Aquatic plant microfossils of probable non-vascular origin from the ballagan formation (Lower carboniferous), Midland Valley, Scotland</t>
  </si>
  <si>
    <t>PALEOENVIRONMENT; ZYGNEMATACEAE; SPORES</t>
  </si>
  <si>
    <t>Seven previously undescribed palynomorphs, Brazilea sp. B, ?Carbaneuletes sp. A, ?Reduviasporonites sp. and Algal palynomorph spp. 1 to 4, some of which are closely similar to the spores and filaments of extant fresh or brackish water algae, are described and illustrated from the Lower Carboniferous Ballagan Formation of central Scotland. The palynomorphs occur in a succession yielding delta(18)O and delta(13)C values from carbonate that indicate a brackish water depositional origin. They occur in several sections with a low diversity ostracod fauna dominated by Beyrichiopsis, Cavellina, Knoxiella, Shemonaella and Sulcella species, but lacking typical fully marine forms such as Bairdia and Amphissites. Tit addition, the sequences contain Botryococcus and Circulisporites, which are fresh to brackish water indicators, but lack spinose acritarchs that indicate marine conditions. The palynomorphs, which lack trilete marks or other haptotypic features, are thus likely to be of aquatic algal origin, and were probably produced to allow algae growing in ephemeral ponds to survive periods of desiccation and to colonize successive waterbodies in an and coastal plain palaeoenvironment. The palynomorphs may be of value in further palaeoenvironmental studies as indicators of fresh to brackish conditions.</t>
  </si>
  <si>
    <t>mhste@bgs.ac.uk; mwilli@bas.ac.uk; mjl@bgs.ac.uk; als@bgs.ac.uk</t>
  </si>
  <si>
    <t>10.1144/pygs.55.2.145</t>
  </si>
  <si>
    <t>WOS:000226715300005</t>
  </si>
  <si>
    <t>McGlone, MS; Turney, CSM; Wilmshurst, JM</t>
  </si>
  <si>
    <t>Late-glacial and Holocene vegetation and climatic history of the Cass basin, central south island, New Zealand</t>
  </si>
  <si>
    <t>QUATERNARY RESEARCH</t>
  </si>
  <si>
    <t>last glacial-interglacial transition; interhemispheric climate change; palynology; macrofossils; stable carbon isotopes; younger dryas; Antarctic; cold reversal</t>
  </si>
  <si>
    <t>CARBON-ISOTOPE DISCRIMINATION; QUATERNARY POLLEN RECORD; EASTERN NEW-ZEALAND; YOUNGER DRYAS; LAST DEGLACIATION; NORTH-ATLANTIC; OCEAN; OSCILLATION; CIRCULATION; DATES</t>
  </si>
  <si>
    <t>Lithology, pollen, macrofossils, and stable carbon isotopes from an intermontane basin bog site in southern New Zealand provide a detailed late-glacial and early Holocene vegetation and climate record. Glacial retreat occurred before 17,000 cal yr B.P., and tundra-like grassland-shrubland occupied the basin shortly after. Between 16,500 and 14,600 cal yr B.P., a minor regional expansion of forest patches occurred in response to warming, but the basin remained in shrubland. Forest retreated between 14,600 and 13,600 cal yr B.P., at about the time of the Antarctic Cold Reversal. At 13,600 cal yr B.P., a steady progression from shrubland to tall podocarp forest began as the climate ameliorated. Tall, temperate podocarp trees replaced stress-tolerant shrubs and trees between 12,800 and 11,300 cal yr B.P., indicating sustained warming during the Younger Dryas Chronozone (YDC). Stable isotopes suggest increasing atmospheric humidity from 11,800 to 9300 cal yr B.P. Mild (annual temperatures at least VC higher than present), and moist conditions prevailed from 11,000 to 10,350 cal yr B.P. Cooler, more variable conditions followed, and podocarp forest was completely replaced by montane Nothofagus forest at around 7500 cal yr B.P. with the onset of the modem climate regime. The Cass Basin late-glacial climate record closely matches the Antarctic ice core records and is in approximate antiphase with the North Atlantic. (C) 2004 University of Washington. All rights reserved.</t>
  </si>
  <si>
    <t>Landcare Res, Lincoln 8152, New Zealand; Univ Wollongong, GeoQuEST Res Grp, Sch Earth &amp; Environm Sci, Wollongong, NSW 2522, Australia</t>
  </si>
  <si>
    <t>Landcare Research - New Zealand; University of Wollongong</t>
  </si>
  <si>
    <t>McGlone, MS (corresponding author), Landcare Res, Lincoln 8152, New Zealand.</t>
  </si>
  <si>
    <t>mcglonem@landcareresearch.co.nz</t>
  </si>
  <si>
    <t>Wilmshurst, Janet/O-8611-2019; Turney, Chris/P-8701-2018</t>
  </si>
  <si>
    <t>Wilmshurst, Janet/0000-0002-4474-8569; Turney, Chris/0000-0001-6733-0993</t>
  </si>
  <si>
    <t>ACADEMIC PRESS INC ELSEVIER SCIENCE</t>
  </si>
  <si>
    <t>SAN DIEGO</t>
  </si>
  <si>
    <t>525 B ST, STE 1900, SAN DIEGO, CA 92101-4495 USA</t>
  </si>
  <si>
    <t>0033-5894</t>
  </si>
  <si>
    <t>QUATERNARY RES</t>
  </si>
  <si>
    <t>Quat. Res.</t>
  </si>
  <si>
    <t>10.1016/j.yqres.2004.09.003</t>
  </si>
  <si>
    <t>Geography, Physical; Geosciences, Multidisciplinary</t>
  </si>
  <si>
    <t>Physical Geography; Geology</t>
  </si>
  <si>
    <t>874NY</t>
  </si>
  <si>
    <t>WOS:000225358300004</t>
  </si>
  <si>
    <t>McQuaid, CD; Froneman, PW</t>
  </si>
  <si>
    <t>The Southern Ocean Group at Rhodes University: seventeen years of biological oceanography in the Southern Ocean reviewed</t>
  </si>
  <si>
    <t>SOUTH AFRICAN JOURNAL OF SCIENCE</t>
  </si>
  <si>
    <t>PRINCE-EDWARD-ISLANDS; POLAR FRONTAL ZONE; SHRIMP NAUTICARIS-MARIONIS; PROTOZOOPLANKTON COMMUNITY STRUCTURE; AUSTRAL AUTUMN 2002; INDIAN-OCEAN; ATLANTIC SECTOR; DAILY RATION; PHYTOPLANKTON PRODUCTION; TEMPORAL VARIABILITY</t>
  </si>
  <si>
    <t>This paper reviews the main findings of the Southern Ocean Group at Rhodes University over the last 17 years. A primary contribution has been the development of conceptual models of the physicalbiological driving mechanisms that support enormous seasonal populations of land-based top predators at the Prince Edward Islands. Collectively, these models are referred to as the lifesupport system of the islands. Near-shore subcomponents of the ecosystem, including inshore feeding predators, are largely supported by autochthonous primary production of kelps and localized diatom blooms. These energy sources feed indirectly into top predator populations via the benthic communities. A crucial link is formed by the bottom-dwelling shrimp, Nauticaris marionis, which feeds largely on benthic species and detritus and is eaten by a number of diving seabirds. The frontal systems that lie north and south of the islands are important feeding grounds for offshore feeding birds. A decadal-scale southward shift in the position of the Sub-antarctic Front towards the islands is reflected in increases in populations of these species.</t>
  </si>
  <si>
    <t>Rhodes Univ, Dept Zool &amp; Entomol, ZA-6140 Grahamstown, South Africa</t>
  </si>
  <si>
    <t>Rhodes University</t>
  </si>
  <si>
    <t>McQuaid, CD (corresponding author), Rhodes Univ, Dept Zool &amp; Entomol, ZA-6140 Grahamstown, South Africa.</t>
  </si>
  <si>
    <t>c.mcquaid@ru.ac.za</t>
  </si>
  <si>
    <t>Froneman, William/C-9085-2012; McQuaid, Christopher/AAT-3725-2020; Froneman, William/GLS-0460-2022</t>
  </si>
  <si>
    <t>McQuaid, Christopher/0000-0002-3473-8308; Froneman, William/0000-0003-0615-1355</t>
  </si>
  <si>
    <t>ACAD SCIENCE SOUTH AFRICA A S S AF</t>
  </si>
  <si>
    <t>LYNWOOD RIDGE</t>
  </si>
  <si>
    <t>PO BOX 72135, LYNWOOD RIDGE 0040, SOUTH AFRICA</t>
  </si>
  <si>
    <t>0038-2353</t>
  </si>
  <si>
    <t>S AFR J SCI</t>
  </si>
  <si>
    <t>S. Afr. J. Sci.</t>
  </si>
  <si>
    <t>920KD</t>
  </si>
  <si>
    <t>WOS:000228686900016</t>
  </si>
  <si>
    <t>Cockell, CS; Horneck, G</t>
  </si>
  <si>
    <t>A Planetary Park system for Mars</t>
  </si>
  <si>
    <t>SPACE POLICY</t>
  </si>
  <si>
    <t>The increasing robotic exploration of Mars and eventual human exploration and settlement of that planet threatens to have a significant environmental impact on scientifically important sites and sites of natural beauty in the form of contamination with micro-organisms and spacecraft parts. By definition, the sites that we might wish to preserve are likely to be those to which robots and humans will be sent. An interventionist step to protect pristine regions of Mars with the formation of a Planetary Park system is proposed. Possible locations for the first seven Planetary Parks are suggested. Landing of unmanned craft in these parks would be forbidden. Although global dust storms can carry microorganisms across the planetary surface, the regulations suggested for these parks will allow for the maximum level of preservation. We also suggest that the Planetary Park system could be applied to the Moon. (C) 2004 Elsevier Ltd. All rights reserved.</t>
  </si>
  <si>
    <t>British Antarctic Survey, Cambridge CB3 0ET, England; German Aerosp Ctr, Inst Aerosp Med, D-51170 Cologne, Germany</t>
  </si>
  <si>
    <t>UK Research &amp; Innovation (UKRI); Natural Environment Research Council (NERC); NERC British Antarctic Survey; Helmholtz Association; German Aerospace Centre (DLR)</t>
  </si>
  <si>
    <t>csco@bas.ac.uk</t>
  </si>
  <si>
    <t>ELSEVIER SCI LTD</t>
  </si>
  <si>
    <t>THE BOULEVARD, LANGFORD LANE, KIDLINGTON, OXFORD OX5 1GB, OXON, ENGLAND</t>
  </si>
  <si>
    <t>0265-9646</t>
  </si>
  <si>
    <t>1879-338X</t>
  </si>
  <si>
    <t>Space Policy</t>
  </si>
  <si>
    <t>10.1016/j.spacepol.2004.08.003</t>
  </si>
  <si>
    <t>International Relations; Social Sciences, Interdisciplinary</t>
  </si>
  <si>
    <t>International Relations; Social Sciences - Other Topics</t>
  </si>
  <si>
    <t>877XS</t>
  </si>
  <si>
    <t>WOS:000225609700006</t>
  </si>
  <si>
    <t>Hirsch, P; Gallikowski, CA; Siebert, J; Peissl, K; Kroppenstedt, R; Schumann, P; Stackebrandt, E; Anderson, R</t>
  </si>
  <si>
    <t>Deinococcus frigens sp nov., Deinococcus saxicola sp nov., and Deinococcus marmoris sp nov., low temperature and draught-tolerating, UV-resistant bacteria from continental Antarctica</t>
  </si>
  <si>
    <t>SYSTEMATIC AND APPLIED MICROBIOLOGY</t>
  </si>
  <si>
    <t>Deinococcus; UV-resistance; draught-tolerance; antarctic endoliths and soils</t>
  </si>
  <si>
    <t>DEOXYRIBONUCLEIC-ACID; GEN-NOV; RADIATION-RESISTANT; MICROCOCCUS-RADIODURANS; RAPID METHOD; PLASMID DNA; CELL-WALLS; SANDSTONE; PEPTIDOGLYCAN; ACTINOMYCETE</t>
  </si>
  <si>
    <t>Six Gram-positive, non-motile, UV- and draught-tolerant bacteria were isolated from antarctic soil and rock samples. The pink to orange cocci grew well on oligotrophic medium PYGV (pH 7.5) at 9-18 degreesC. They tolerated 0-10 % NaCl, were aerobic to facultatively anaerobic and contained ornithine in their cell wall (type A3beta, Orn-Gly(2)). The lipid profiles of four strains were found to be typical for those of D. radiodurans. Major fatty acids were 16:1cis9, 15:1cis0, 17:1cis9 and i17:1cis9, the respiratory quinone of three strains was MK-8. Comparative 16S rDNA gene sequencing revealed phylogenetic relationships to the Deinococcus clade, especially to D. radiopugnans. The levels of 16S rRNA gene sequence similarity and DNA-DNA hybridisation data showed the six isolates represented new taxa. Phenotypic properties supported the description of three new species which were different from the eight known Deinococcus species and particularly from D. radiopugnans. Soil isolate AA-692(T) (DSM 12807(T)) is the type strain of Deinococcus frigens sp. nov., with AA-752 (DSM 15993) and AA-829 (DSM 15994) as additional strains from soil. The endolithic isolate AA-1444(T) Deinococcus saxicola sp. nov., (DSM 15974(T)) came from antarctic sandstone, and Deinococcus marmoris sp. nov. (isolate AA-63(T) [DSM 12784(T)]) as well as AA-69 (DSM 15951) were isolated from antarctic marble.</t>
  </si>
  <si>
    <t>Univ Kiel, Inst Allgemeine Mikrobiol, D-24118 Kiel, Germany; Deutsch Sammlung Mikroorganism Zellkultur GmbH, Braunschweig, Germany; Dalhousie Univ, Halifax, NS B3H 4H7, Canada</t>
  </si>
  <si>
    <t>University of Kiel; Leibniz Institut fur Deutsche Sammlung von Mikroorganismen und Zellkulturen (DSMZ); Dalhousie University</t>
  </si>
  <si>
    <t>Univ Kiel, Inst Allgemeine Mikrobiol, Bot Garten 1-9, D-24118 Kiel, Germany.</t>
  </si>
  <si>
    <t>phirsch@ifam.uni-kiel.de</t>
  </si>
  <si>
    <t>Schumann, Peter/AAL-1098-2020</t>
  </si>
  <si>
    <t>Schumann, Peter/0000-0002-2251-4091; Stackebrandt, Erko/0000-0002-6130-760X</t>
  </si>
  <si>
    <t>ELSEVIER GMBH, URBAN &amp; FISCHER VERLAG</t>
  </si>
  <si>
    <t>JENA</t>
  </si>
  <si>
    <t>OFFICE JENA, P O BOX 100537, 07705 JENA, GERMANY</t>
  </si>
  <si>
    <t>0723-2020</t>
  </si>
  <si>
    <t>SYST APPL MICROBIOL</t>
  </si>
  <si>
    <t>Syst. Appl. Microbiol.</t>
  </si>
  <si>
    <t>10.1078/0723202042370008</t>
  </si>
  <si>
    <t>878LG</t>
  </si>
  <si>
    <t>WOS:000225647700003</t>
  </si>
  <si>
    <t>Ariya, PA; Dastoor, AP; Amyot, M; Schroeder, WH; Barrie, L; Anlauf, K; Raofie, F; Ryzhkov, A; Davignon, D; Lalonde, J; Steffen, A</t>
  </si>
  <si>
    <t>The Arctic: a sink for mercury</t>
  </si>
  <si>
    <t>TELLUS SERIES B-CHEMICAL AND PHYSICAL METEOROLOGY</t>
  </si>
  <si>
    <t>ATMOSPHERIC MERCURY; GASEOUS MERCURY; OZONE DESTRUCTION; ELEMENTAL MERCURY; SNOW; TROPOSPHERE; KINETICS; GOME; BRO; SPRINGTIME</t>
  </si>
  <si>
    <t>Mercury is a persistent, toxic and bio-accumulative pollutant of global interest. Its main mass in the troposphere is in the form of elemental gas-phase mercury. Rapid, near-complete depletion of mercury has been observed during spring in the atmospheric boundary layer of frozen marine areas in Arctic, sub-Arctic and Antarctic locations. It is strongly correlated with ozone depletion. To date, evidence has indicated strongly that chemistry involving halogen gases from surface sea-salt is the mechanism of this destruction. Precisely which halogen gases are the main players has remained unresolved. Our novel kinetic data and multiscale modelling show that Br atoms and BrO radicals are the most effective halogens driving mercury oxidation. The reduction of oxidized mercury deposited in the snow pack back to Hg-0 and subsequent diffusion to the atmosphere is observed. However, it cannot compensate for the total deposition, and a net accumulation occurs. We use a unique global atmospheric mercury model to estimate that halogen-driven mercury depletion events result in a 44% increase in the net deposition of mercury to the Arctic. Over a 1-yr cycle, we estimate an accumulation of 325 tons of mercury in the Arctic.</t>
  </si>
  <si>
    <t>McGill Univ, Dept Atmospher Sci, Montreal, PQ H3A 2K6, Canada; McGill Univ, Dept Ocean Sci, Montreal, PQ H3A 2K6, Canada; Environm Canada, Meteorol Serv Canada, Dorval, PQ M3H 5T4, Canada; Univ Montreal, Dept Biol Sci, Montreal, PQ H2V 2S9, Canada; World Meteorol Org, AREP, Endironm Div, CH-1211 Geneva 2, Switzerland</t>
  </si>
  <si>
    <t>McGill University; McGill University; Environment &amp; Climate Change Canada; Meteorological Service of Canada; Universite de Montreal</t>
  </si>
  <si>
    <t>McGill Univ, Dept Atmospher Sci, 801 Sherbrooke St W, Montreal, PQ H3A 2K6, Canada.</t>
  </si>
  <si>
    <t>parisa.ariya@mcgill.ca</t>
  </si>
  <si>
    <t>Ariya, Parisa A/G-2810-2015; Amyot, Marc/A-7182-2008</t>
  </si>
  <si>
    <t>Amyot, Marc/0000-0002-0340-3249; Dastoor, Ashu/0000-0002-3312-7484; Ryjkov, Andrei/0000-0003-1020-1693</t>
  </si>
  <si>
    <t>1600-0889</t>
  </si>
  <si>
    <t>TELLUS B</t>
  </si>
  <si>
    <t>Tellus Ser. B-Chem. Phys. Meteorol.</t>
  </si>
  <si>
    <t>10.1111/j.1600-0889.2004.00118.x</t>
  </si>
  <si>
    <t>875ZK</t>
  </si>
  <si>
    <t>WOS:000225463000001</t>
  </si>
  <si>
    <t>Delmas, RJ; Beer, J; Synal, HA; Muscheler, R; Petit, JR; Pourchet, M</t>
  </si>
  <si>
    <t>Bomb-test 36Cl measurements in Vostok snow (Antarctica) and the use of 36Cl as a dating tool for deep ice cores</t>
  </si>
  <si>
    <t>SEA-SALT; GREENLAND ICE; CHLORINE 36; DOME-C; MECHANISM; CYCLE; VARIABILITY; CLIMATE; AEROSOL; FALLOUT</t>
  </si>
  <si>
    <t>A large pulse of atmospheric Cl-36 generated by a limited number of nuclear tests peaked in the late 1950s to early 1960s. The corresponding enhanced Cl-36 deposition is seen in various glaciological archives in the Northern Hemisphere. The profile of the bomb spike recorded in firn layers at Vostok Station, central East Antarctica. has been measured by employing accelerator mass spectrometry (AMS). The records obtained front two well-dated data sets collected in snow pits in 1997 and 1998 show a broad Cl-36 peak, beginning as early as the 1940s and reaching its maximum in the 1960s. The signal is followed by a long-lasting tail up to the surface. This pattern is totally unexpected. We show that the results, unlike the Greenland data, can be explained by a mobility of HCl in the Antarctic firn. This experiment demonstrates the instability of gaseous Cl- deposits. a phenomenon which has important implications for the use of natural cosmogenic Cl-36 radionuclides as a reliable dating tool for deep ice cores from low-accumulation areas. However, during glacial times, under favourable atmospheric chemistry conditions this dating method may still be applicable. Snow metamorphism and ventilation are assumed to be the two main physical processes responsible for the observed patterns.</t>
  </si>
  <si>
    <t>UJF, CNRS, UMR 5183, Lab Glaciol &amp; Geophys Environm, St Martin Dheres, France; Swiss Fed Inst Environm Sci &amp; Technol, EAWAG, Dubendorf, Switzerland; ETH Honggerberg, PSI, CH-8093 Zurich, Switzerland; Lund Univ, Lund, Sweden</t>
  </si>
  <si>
    <t>Centre National de la Recherche Scientifique (CNRS); Communaute Universite Grenoble Alpes; Universite Grenoble Alpes (UGA); Swiss Federal Institutes of Technology Domain; Swiss Federal Institute of Aquatic Science &amp; Technology (EAWAG); Swiss Federal Institutes of Technology Domain; ETH Zurich; Paul Scherrer Institute; Lund University</t>
  </si>
  <si>
    <t>UJF, CNRS, UMR 5183, Lab Glaciol &amp; Geophys Environm, St Martin Dheres, France.</t>
  </si>
  <si>
    <t>delmas@lgge.obs.ujf-grenoble.fr</t>
  </si>
  <si>
    <t>Synal, Hans-Arno/AAD-4556-2019; Synal, Hans-Arno/JYQ-3205-2024</t>
  </si>
  <si>
    <t>Synal, Hans-Arno/0000-0001-5621-3089; Muscheler, Raimund/0000-0003-2772-3631</t>
  </si>
  <si>
    <t>10.1111/j.1600-0889.2004.00109.x</t>
  </si>
  <si>
    <t>WOS:000225463000009</t>
  </si>
  <si>
    <t>Leat, PT; Pearce, JA; Barker, RF; Millar, IL; Barry, TL; Larter, RD</t>
  </si>
  <si>
    <t>Magma genesis and mantle flow at a subducting slab edge: the South Sandwich arc-basin system</t>
  </si>
  <si>
    <t>subduction; geochemistry; back-arc basin; slab ends; mantle flow</t>
  </si>
  <si>
    <t>MID-ATLANTIC RIDGE; EAST SCOTIA RIDGE; ISLAND-ARC; TECTONIC IMPLICATIONS; GEOCHEMICAL EVIDENCE; SEDIMENT SUBDUCTION; SPREADING CENTER; BENEATH; PLATE; PETROGENESIS</t>
  </si>
  <si>
    <t>The intra-oceanic South Sandwich subduction system is distinctive in having a narrow slab with slab edges at its northern and southern ends. We present new geochemical data to investigate magma genesis beneath the parts of the arc and back-are segments that lie close to the two slab edges: Kemp and Nelson seamounts at the southern edge of the South Sandwich arc, and segments E1 and E2 in the south, plus segments E9 and E10 in the north, of the East Scotia Sea. In the arc, Kemp and Nelson seamounts exhibit enhanced subduction fluxes compared to the remainder of the arc. The southernmost (Nelson) has the isotope (low Nd and high Sr isotope ratios) and elemental (ultra-high Th and Ba and high Hf/Nd ratios) characteristics of a sediment melt, or supercritical aqueous fluid, component. The more northerly (Kemp) has the same characteristics as the remainder of the arc (high Nd and slightly raised Sr isotope ratios, high Nd/Hf ratios, high Ba/Th ratios), indicative of a fluid component derived mainly from subducted crust, but has a greater mass fraction of that component than the rest of the arc. In the back-are basin, the slab-edge segments are generally fed by more fertile mantle (E-MOR-B in all but E I) than the segments in the centre of the basin (N-MORB). At the edges, segments furthest from the trench (E2, E9) have small subduction components while those nearer to the trench (E1, E10) have larger subduction components and slightly more depleted mantle. We argue that several processes were important at the slab edges: roll-back of the slab, forcing sideways flow of relatively enriched mantle into the mantle wedge; convergence of the arc with the back-are spreading centre, imparting a greater subduction component into the back-arc lavas; and anomalous heating of the subducting slab, increasing subduction fluxes and the contribution of sediment melts to the subduction component. (C) 2004 Elsevier B.V. All rights reserved.</t>
  </si>
  <si>
    <t>British Antarctic Survey, Cambridge CB3 0ET, England; Cardiff Univ, Dept Earth Sci, Cardiff CF10 3YE, S Glam, Wales; BGS, Isotope Geosci Lab, Keyworth NG12 5GG, Notts, England</t>
  </si>
  <si>
    <t>UK Research &amp; Innovation (UKRI); Natural Environment Research Council (NERC); NERC British Antarctic Survey; Cardiff University; UK Research &amp; Innovation (UKRI); Natural Environment Research Council (NERC); NERC British Geological Survey</t>
  </si>
  <si>
    <t>British Antarctic Survey, Madingley Rd, Cambridge CB3 0ET, England.</t>
  </si>
  <si>
    <t>p.leat@bas.ac.uk; PearceJA@Cardiff.ac.uk; pfbarker@tiscali.co.uk; i.millar@bbas.ac.uk; tbarry@bgs.ac.uk; r.larter@bas.ac.uk</t>
  </si>
  <si>
    <t>Millar, Ian L/F-1541-2010; Vuan, Alessandro/B-7115-2014; Pearce, Julian A/C-5807-2009</t>
  </si>
  <si>
    <t>Barry, Tiffany/0000-0001-6853-6838; Larter, Robert/0000-0002-8414-7389</t>
  </si>
  <si>
    <t>OCT 30</t>
  </si>
  <si>
    <t>10.1016/j.epsl.2004.08.016</t>
  </si>
  <si>
    <t>864QY</t>
  </si>
  <si>
    <t>WOS:000224649200002</t>
  </si>
  <si>
    <t>Pirazzini, R</t>
  </si>
  <si>
    <t>Surface albedo measurements over Antarctic sites in summer</t>
  </si>
  <si>
    <t>Antarctica; snow and ice; broadband albedo</t>
  </si>
  <si>
    <t>RADIATIVE-TRANSFER MODEL; GREENLAND ICE-SHEET; SNOW ALBEDO; ENERGY-BALANCE; BLUE ICE; SPECTRAL ALBEDO; SEA-ICE; PARAMETERIZATION; REFLECTANCE; STATION</t>
  </si>
  <si>
    <t>[1] Surface albedo data from several Antarctic sites were compared to determine spatial and temporal variability in albedo. The highest degree of variability was observed at Hells Gate Station on the Ross Sea coast. The temperature close to the melting point and the reduced katabatic winds during summer allowed a strong metamorphism of the snow. At Neumayer, a coastal station by the Weddell Sea, snowfall and drifting snow were more frequent, and the surface albedo was constantly high. The albedo increased by an average of 0.07 from clear days to days with snowfall and overcast sky. Surprisingly, the hourly variation in albedo at Hells Gate Station showed a trend similar to the one observed at Neumayer Station and at Dome Concordia Station on the high plateau, when only those days with fresh snow at the surface were considered. The albedo steadily decreased during the day for solar zenith angles less than 80degrees. Snow metamorphism, sublimation during the day, and refreezing and/or crystal formation/precipitation during the night can explain the observed trend. To represent the daily trend in albedo over ice and fresh snow, we propose two parameterizations, which can be easily applied over other Arctic and Antarctic sites in summer. Small- and large-scale surface roughness elements can result in distortion in the measured albedo. The data at Reeves Neve Station show the effect produced on the albedo by changing slightly the sampling area immediately over a sastruga.</t>
  </si>
  <si>
    <t>Univ Helsinki, Div Atmospher Sci, Helsinki, Finland; Finnish Inst Marine Res, Helsinki 00931, Finland</t>
  </si>
  <si>
    <t>University of Helsinki</t>
  </si>
  <si>
    <t>Pirazzini, R (corresponding author), Univ Helsinki, Div Atmospher Sci, Helsinki, Finland.</t>
  </si>
  <si>
    <t>pirazzini@fimr.fi</t>
  </si>
  <si>
    <t>Pirazzini, Roberta/G-2043-2012</t>
  </si>
  <si>
    <t>Pirazzini, Roberta/0000-0003-3215-4592</t>
  </si>
  <si>
    <t>D20</t>
  </si>
  <si>
    <t>D20118</t>
  </si>
  <si>
    <t>10.1029/2004JD004617</t>
  </si>
  <si>
    <t>867ZX</t>
  </si>
  <si>
    <t>WOS:000224882700001</t>
  </si>
  <si>
    <t>Yang, JX</t>
  </si>
  <si>
    <t>Polar science - China takes bold steps into Antarctic's forbidding interior</t>
  </si>
  <si>
    <t>SCIENCE</t>
  </si>
  <si>
    <t>China Features, Beijing, Peoples R China</t>
  </si>
  <si>
    <t>Yang, JX (corresponding author), China Features, Beijing, Peoples R China.</t>
  </si>
  <si>
    <t>AMER ASSOC ADVANCEMENT SCIENCE</t>
  </si>
  <si>
    <t>1200 NEW YORK AVE, NW, WASHINGTON, DC 20005 USA</t>
  </si>
  <si>
    <t>0036-8075</t>
  </si>
  <si>
    <t>Science</t>
  </si>
  <si>
    <t>OCT 29</t>
  </si>
  <si>
    <t>10.1126/science.306.5697.803</t>
  </si>
  <si>
    <t>869FS</t>
  </si>
  <si>
    <t>WOS:000224969400014</t>
  </si>
  <si>
    <t>Bonadonna, F; Nevitt, GA</t>
  </si>
  <si>
    <t>Partner-specific odor recognition in an Antarctic seabird</t>
  </si>
  <si>
    <t>CNRS, Ctr Ecol Fonct &amp; Evolut, Behav Ecol Grp, F-34293 Montpellier 5, France; Univ Calif Davis, Sect Neurobiol Physiol &amp; Behav, Davis, CA 95616 USA</t>
  </si>
  <si>
    <t>Universite PSL; Ecole Pratique des Hautes Etudes (EPHE); Institut Agro; Montpellier SupAgro; CIRAD; Centre National de la Recherche Scientifique (CNRS); Institut de Recherche pour le Developpement (IRD); Universite Paul-Valery; Universite de Montpellier; University of California System; University of California Davis</t>
  </si>
  <si>
    <t>CNRS, Ctr Ecol Fonct &amp; Evolut, Behav Ecol Grp, 1919 Route Mende, F-34293 Montpellier 5, France.</t>
  </si>
  <si>
    <t>bonadonna@cefe.cnrs.fr</t>
  </si>
  <si>
    <t>Bonadonna, Francesco/A-7456-2008</t>
  </si>
  <si>
    <t>Bonadonna, Francesco/0000-0002-2702-5801</t>
  </si>
  <si>
    <t>1095-9203</t>
  </si>
  <si>
    <t>10.1126/science.1103001</t>
  </si>
  <si>
    <t>WOS:000224969400036</t>
  </si>
  <si>
    <t>Hong, SM; Boutron, CF; Gabrielli, P; Barbante, C; Ferrari, CP; Petit, JR; Lee, K; Lipenkov, VY</t>
  </si>
  <si>
    <t>Past natural changes in Cu, Zn and Cd in Vostok Antarctic ice dated back to the penultimate interglacial period</t>
  </si>
  <si>
    <t>HEAVY-METALS; CADMIUM; SNOW; ZINC; LEAD; CLIMATE; COPPER; EMISSIONS; WORLDWIDE; VOLCANOS</t>
  </si>
  <si>
    <t>Improved ice core decontamination procedures have allowed us to obtain the first reliable data on Cu, Zn and Cd in ancient Antarctic ice drilled in a fluid filled hole at Vostok Station, dated back to the beginning of the next to last ice age similar to 240,000 years ago. Cu, Zn and Cd concentrations and fallout fluxes display very large natural variations by up to a factor of 35, with high values obtained during the coldest climatic stages and much lower values during warm climatic stages. Crustal dust was an important source of Cu and Zn during the coldest climatic stages, and volcanic emissions were probably an important source of Cd both during warm and cold periods.</t>
  </si>
  <si>
    <t>Korea Polar Res Inst, KORDI, Seoul 425600, South Korea; Lab Glaciol &amp; Geophys Environm, CNRS, UMR 5183, F-38402 St Martin Dheres, France; Univ Grenoble 1, Observ Sci Univers, Grenoble, France; Univ Grenoble 1, Unite Format &amp; Rech Phys, Grenoble, France; Univ Venice, Dept Environm Sci, I-30123 Venice, Italy; Univ Venice, Ctr Studies Environm Chem &amp; Technol, CNR, I-30123 Venice, Italy; Univ Grenoble 1, Polytech Grenoble, Grenoble, France; Arctic &amp; Antarctic Res Inst, St Petersburg 199397, Russia</t>
  </si>
  <si>
    <t>Korea Institute of Ocean Science &amp; Technology (KIOST); Korea Polar Research Institute (KOPRI); Centre National de la Recherche Scientifique (CNRS); Communaute Universite Grenoble Alpes; Universite Grenoble Alpes (UGA); Communaute Universite Grenoble Alpes; Universite Grenoble Alpes (UGA); Universita Ca Foscari Venezia; Consiglio Nazionale delle Ricerche (CNR); Universita Ca Foscari Venezia; Communaute Universite Grenoble Alpes; Institut National Polytechnique de Grenoble; Universite Grenoble Alpes (UGA); Arctic &amp; Antarctic Research Institute</t>
  </si>
  <si>
    <t>Korea Polar Res Inst, KORDI, POB 29, Seoul 425600, South Korea.</t>
  </si>
  <si>
    <t>smhong@kopri.re.kr</t>
  </si>
  <si>
    <t>Barbante, Carlo/B-3195-2011; Lipenkov, Vladimir/Q-8262-2016</t>
  </si>
  <si>
    <t>Lipenkov, Vladimir/0000-0003-4221-5440; Barbante, Carlo/0000-0003-4177-2288</t>
  </si>
  <si>
    <t>OCT 28</t>
  </si>
  <si>
    <t>L20111</t>
  </si>
  <si>
    <t>10.1029/2004GL021075</t>
  </si>
  <si>
    <t>867ZI</t>
  </si>
  <si>
    <t>WOS:000224881200004</t>
  </si>
  <si>
    <t>Lippert, H; Iken, K; Volk, C; Köck, M; Rachor, E</t>
  </si>
  <si>
    <t>Chemical defence against predators in a sub-Arctic fjord</t>
  </si>
  <si>
    <t>JOURNAL OF EXPERIMENTAL MARINE BIOLOGY AND ECOLOGY</t>
  </si>
  <si>
    <t>Arctic; Anonyx nugax; Asterias rubens; chemical ecology; feeding deterrence; invertebrates</t>
  </si>
  <si>
    <t>SECONDARY METABOLITES; CARIBBEAN SPONGES; BERING SEA; MARINE; ECOLOGY; ALKALOIDS; SOUND; PALATABILITY; COMMUNITY; TOXICITY</t>
  </si>
  <si>
    <t>The development of chemical defences in marine organisms is supposed to be driven by intense pressure of predation and competition. While benthic communities in tropical and also Antarctic regions are thought to be mainly structured by intra- and interspecific interactions, these factors are proposed to be less important in northern high latitudes. Consequently, selective pressure for chemical defence should be low in these regions. To investigate the incidence of chemical defence against predation in northern high latitudes, crude extracts of 18 abundant sessile or slow-moving invertebrate species (4 sponges, 3 actinians, 1 soft coral, 4 bryozoans, 3 ascidians and the egg mass of a gastropod) from Kongsfjord (Spitsbergen) were tested for feeding deterrent activity. Laboratory assays were performed by offering artificial food with extracts to two different predators, the amphipod Anonyx nugax which is a common species in Kongsfjord, and the starfish Asterias rubens from the North Sea. Of the 18 extracts tested, 2 (Haliclona viscosa, Hormathia nodosa) exhibited significant feeding deterrent effects in the amphipod assay. Furthermore, 6 extracts had a significantly stimulating effect on the amphipod feeding, and 10 extracts did not affect consumption. In the starfish assay, only the crude extract of H. viscosa was significantly rejected. For H. viscosa, feeding deterrence could be established for two pure compounds, and for H. nodosa for one fraction. The present data show that feeding deterrent compounds are present in sub-Arctic marine invertebrates from Kongsfjord but are less abundant than in temperate, tropical and Antarctic species. (C) 2004 Elsevier B.V. All rights reserved.</t>
  </si>
  <si>
    <t>Alfred Wegener Inst Polar &amp; Marine Res, D-27568 Bremerhaven, Germany; Univ Alaska Fairbanks, Inst Marine Sci, Fairbanks, AK 99775 USA</t>
  </si>
  <si>
    <t>Helmholtz Association; Alfred Wegener Institute, Helmholtz Centre for Polar &amp; Marine Research; University of Alaska System; University of Alaska Fairbanks</t>
  </si>
  <si>
    <t>Univ Rostock, Inst Aquat Ecol, Albert Einstein Str 3, D-18051 Rostock, Germany.</t>
  </si>
  <si>
    <t>heike.lipper@biologie.uni-rostock.de</t>
  </si>
  <si>
    <t>0022-0981</t>
  </si>
  <si>
    <t>1879-1697</t>
  </si>
  <si>
    <t>J EXP MAR BIOL ECOL</t>
  </si>
  <si>
    <t>J. Exp. Mar. Biol. Ecol.</t>
  </si>
  <si>
    <t>10.1016/j.jembe.2004.03.023</t>
  </si>
  <si>
    <t>Ecology; Marine &amp; Freshwater Biology</t>
  </si>
  <si>
    <t>853QI</t>
  </si>
  <si>
    <t>WOS:000223841900001</t>
  </si>
  <si>
    <t>McKeachie, JR; Appel, MF; Kirchner, U; Schindler, RN; Benter, T</t>
  </si>
  <si>
    <t>Observation of a heterogeneous source of OClO from the reaction of ClO radicals on ice</t>
  </si>
  <si>
    <t>JOURNAL OF PHYSICAL CHEMISTRY B</t>
  </si>
  <si>
    <t>IONIZATION MASS-SPECTROMETRY; ANTARCTIC OZONE DEPLETION; PRESSURE LASER IONIZATION; PRODUCT BRANCHING RATIOS; GAS-PHASE REACTION; CHLORINE PEROXIDE; SELF-REACTION; AB-INITIO; MULTIPHOTON IONIZATION; RELATIVE STABILITIES</t>
  </si>
  <si>
    <t>Experiments presented in this contribution demonstrate a heterogeneous source of several chlorine oxides, in particular OClO and ClClO2, from ClO radicals passed over water-ice surfaces at low pressures. ClO radicals were generated in a flow system and reaction products were monitored by UV-vis absorption spectroscopy and time-of-flight mass spectrometry using electron-impact and resonance-enhanced multiphoton ionization, respectively. In all experiments an efficient release of OClO into the gas phase was observed upon ice evaporation. No such gas-phase products directly formed in the initial interaction of ClO with the ice surface were detected. To explain these findings, it is proposed that a ClO.H2O complex is formed in a rapidly established equilibrium between ClO monomers and gas-phase H2O. The existence of this complex as well as a surface-enhanced ClO-recombination process is assumed to be responsible for the observed efficient reactive uptake of ClO radicals onto the ice surface. Several possible reaction pathways resulting in the formation of the experimentally observed products are presented. As an alternative pathway, H2O-facilitated gas phase disproportionation of ClO yielding hypochlorous and chlorous acid and subsequent deposition on the surface is considered. The observation of OClO evolving from an ice surface previously exposed to ClO radicals, as well as the lack of any symmetric ClOOCl dimer formation in the presence of high water mixing ratios, carries some possible atmospheric implications: First, there is currently a missing source of OClO in the chemically perturbed polar vortex. The ClO + BrO reaction is presently believed to be the only source of OClO in the stratosphere, although several studies show this reaction system to severely underestimate OClO production in this atmospheric subsystem. It is suggested that this experimentally observed heterogeneous source of OClO could carry implications for the total atmospheric OClO budget. Second, the ClO.H2O complex could directly or indirectly affect the ClOOCl formation rate and thus strongly impact homogeneous chlorine chemistry.</t>
  </si>
  <si>
    <t>Berg Univ Gesamthsch Wuppertal, FB Math &amp; Naturwissensch C, D-42097 Wuppertal, Germany; Univ Kiel, Inst Phys Chem, D-24098 Kiel, Germany; Ford Forsch Zentrum Aachen GMBH, D-52072 Aachen, Germany; Christopher Newport Univ, Dept Biol Chem &amp; Environm Sci, Newport News, VA 23606 USA; Univ Calif Irvine, Dept Chem, Irvine, CA 92697 USA</t>
  </si>
  <si>
    <t>University of Wuppertal; University of Kiel; Ford Motor Company; University of California System; University of California Irvine</t>
  </si>
  <si>
    <t>Berg Univ Gesamthsch Wuppertal, FB Math &amp; Naturwissensch C, Gauss Str 20, D-42097 Wuppertal, Germany.</t>
  </si>
  <si>
    <t>tbenter@uni-wuppertal.de</t>
  </si>
  <si>
    <t>Benter, Thorsten/B-5765-2008; Kirchner, Ulf/GQP-6877-2022</t>
  </si>
  <si>
    <t>1520-6106</t>
  </si>
  <si>
    <t>J PHYS CHEM B</t>
  </si>
  <si>
    <t>J. Phys. Chem. B</t>
  </si>
  <si>
    <t>10.1021/jp049314p</t>
  </si>
  <si>
    <t>Chemistry, Physical</t>
  </si>
  <si>
    <t>865EP</t>
  </si>
  <si>
    <t>WOS:000224685600031</t>
  </si>
  <si>
    <t>Janches, D; Palo, SE; Lau, EM; Avery, SK; Avery, JP; de la Peña, S; Makarov, NA</t>
  </si>
  <si>
    <t>Diurnal and seasonal variability of the meteoric flux at the South Pole measured with radars -: art. no. L20807</t>
  </si>
  <si>
    <t>DISTRIBUTIONS; ARECIBO</t>
  </si>
  <si>
    <t>A meteor radar system was installed at the South Pole in 2001 to measure the horizontal wind field in the MLT region. It uses four 6-element yagi antennas pointing in orthogonal directions for transmission. For reception two independent systems are used: the same yagi antennas used for transmission ( COBRA data acquisition system) and an interferometric array of five crossed-dipole antennas (MEDAC data acquisition system). In this paper we present and discuss VHF radio meteor observations from the South Pole. Preliminary results showing the diurnal and seasonal variability of the meteor flux indicate that most of the activity occurs during the Antarctic summer around a very concentrated region of the sky in elevation and azimuth. These results agree well with meteor observations performed at Arctic latitudes. Speculations on the radiant distribution and possible meteor sources are presented.</t>
  </si>
  <si>
    <t>Univ Colorado, Cooperat Inst Res Environm Sci, Boulder, CO 80309 USA; Sci Prod Assoc, Inst Expt Meteorol, Obninsk 249020, Russia; Univ Colorado, Dept Aerosp Engn, Boulder, CO 80309 USA</t>
  </si>
  <si>
    <t>University of Colorado System; University of Colorado Boulder; University of Colorado System; University of Colorado Boulder</t>
  </si>
  <si>
    <t>Janches, D (corresponding author), Univ Colorado, Cooperat Inst Res Environm Sci, 216 USC, Boulder, CO 80309 USA.</t>
  </si>
  <si>
    <t>diego.janches@colorado.edu; palo@colorado.edu; elias.lau@colorado.edu; susan.avery@colorado.edu; james.avery@colorado.edu; delapena@ucsu.colorado.edu; makarov@obninsk.org</t>
  </si>
  <si>
    <t>; Janches, Diego/D-4674-2012</t>
  </si>
  <si>
    <t>PALO, SCOTT/0000-0002-4729-4929; Janches, Diego/0000-0001-8615-5166</t>
  </si>
  <si>
    <t>OCT 23</t>
  </si>
  <si>
    <t>L20807</t>
  </si>
  <si>
    <t>10.1029/2004GL021104</t>
  </si>
  <si>
    <t>867XO</t>
  </si>
  <si>
    <t>WOS:000224876400004</t>
  </si>
  <si>
    <t>Hastings, MG; Steig, EJ; Sigman, DM</t>
  </si>
  <si>
    <t>Seasonal variations in N and O isotopes of nitrate in snow at Summit, Greenland: Implications for the study of nitrate in snow and ice cores</t>
  </si>
  <si>
    <t>Greenland snow; isotopes; nitrate</t>
  </si>
  <si>
    <t>NITROGEN-OXIDES; PEROXYACETYL NITRATE; TROPOSPHERIC OZONE; ARCTIC TROPOSPHERE; PHOTOCHEMICAL NO; WET DEPOSITION; ANTARCTIC SNOW; SOUTH-POLE; ATMOSPHERE; CHEMISTRY</t>
  </si>
  <si>
    <t>Nitrogen and oxygen isotopes of NO3- have been measured in snow and firn from Summit, Greenland. The N-15/N-14 and O-18/O-16 ratios of NO3- in recently fallen snow are similar to those of surface snow. Diurnal variation is observed in N-15/N-14 of NO3-, and possibly O-18/O-16, suggesting fractionating loss of NO3- from snow during the day, which is subsequently recovered at night. A larger seasonal variation is observed, with higher N-15/N-14 and lower O-18/O-16 of NO3- in summer than winter, which cannot be explained by postdepositional fractionation. The generally high O-18/O-16 of NO3- in Greenland snow (delta(18)O versus VSMOW = 65.2 to 79.6%) indicates that oxygen atoms from ozone have been incorporated into NOx that was subsequently deposited as HNO3. The lower mean delta(18)O of NO3- in summer snow relative to winter (68.9% in summer 2000 and 70.5% in summer 2001 versus 77.5% in winter 2000-01) is a result of summertime HNO3 production via NO2 reaction with hydroxyl radical (OH), which dilutes the high delta(18)O imparted on NO2 from ozone. The higher mean N-15/N-14 of NO3- observed in snow from spring (delta(15)N versus air N-2 = + 5.9parts per thousand in 2000 and -1.4parts per thousand in 2001) and summer (+0.1parts per thousand in 2000 and -0.8% in 2001) than fall (-9.2parts per thousand in 2000) and winter (-10.0parts per thousand in 2000-01) is more difficult to explain with seasonal photochemistry, given current knowledge. The seasonal N-15/N-14 change may reflect NOx sources, with a greater fall and wintertime contribution from fossil fuel emissions relative to other inputs of NOx (i.e., biogenic soil emissions, biomass burning, and lightning).</t>
  </si>
  <si>
    <t>Princeton Univ, Dept Geosci, Princeton, NJ 08544 USA; Univ Washington, Quaternary Res Ctr, Seattle, WA 98195 USA; Univ Washington, Dept Earth &amp; Space Sci, Seattle, WA 98195 USA</t>
  </si>
  <si>
    <t>Princeton University; University of Washington; University of Washington Seattle; University of Washington; University of Washington Seattle</t>
  </si>
  <si>
    <t>Princeton Univ, Dept Geosci, Guyot Hall, Princeton, NJ 08544 USA.</t>
  </si>
  <si>
    <t>mhasting@princeton.edu</t>
  </si>
  <si>
    <t>Sigman, Daniel M./IYJ-2613-2023; Sigman, Daniel M./A-2649-2008; /G-9088-2015; Hastings, Meredith/C-6199-2008</t>
  </si>
  <si>
    <t>Sigman, Daniel M./0000-0002-7923-1973; /0000-0002-8191-5549; Hastings, Meredith/0000-0001-6716-6783</t>
  </si>
  <si>
    <t>OCT 22</t>
  </si>
  <si>
    <t>D20306</t>
  </si>
  <si>
    <t>10.1029/2004JD004991</t>
  </si>
  <si>
    <t>867XU</t>
  </si>
  <si>
    <t>WOS:000224877000006</t>
  </si>
  <si>
    <t>Seeling, J; Colin, JP; Fauth, G</t>
  </si>
  <si>
    <t>Global Campanian (Upper Cretaceous) ostracod palaeobiogeography</t>
  </si>
  <si>
    <t>Ostracoda; Campanian; Upper Cretaceous; palaeobiogeography; multivariate statistics; ordination methods; parsimony analysis of endemicity</t>
  </si>
  <si>
    <t>JAMES-ROSS-ISLAND; ANTARCTIC PENINSULA; STRATIGRAPHY; BIOSTRATIGRAPHY; BIOGEOGRAPHY; ASSEMBLAGES; ATLANTIC; CLASSIFICATION; AFFINITIES; EVOLUTION</t>
  </si>
  <si>
    <t>The distribution of 218 Campanian marine ostracod genera from 38 geographical areas was used for a quantitative palaeobiogeographical analysis. The data were analysed using multivariate statistical methods, ordination methods and parsimony analysis of endemicity. These methods resulted in distinct geographical area groupings of the studied regions. With these goupings, seven palaeobiogeographical units based on Campanian ostracod occurrences are distinguished. The composition of the area groupings and the distribution of the palaeobiogeographical units are discussed. Their development and spatial distribution are broadly controlled by Campanian palacoclimates, partly modified by palaeogeographical conditions. (C) 2004 Elsevier B.V. All rights reserved.</t>
  </si>
  <si>
    <t>Heidelberg Univ, Inst Geol Palaontol, DE-69120 Heidelberg, Germany; Exploconseil, FR-33610 Cestas, France; UNISC, BR-96815900 Santa Cruz, RS, Brazil</t>
  </si>
  <si>
    <t>Ruprecht Karls University Heidelberg; Universidade de Santa Cruz do Sul</t>
  </si>
  <si>
    <t>Seeling, J (corresponding author), Heidelberg Univ, Inst Geol Palaontol, Im Neuenheimer Feld 234, DE-69120 Heidelberg, Germany.</t>
  </si>
  <si>
    <t>jens.seeling@uni-hd.de; jean-paul.colin@worldonline.fr; gfauth@unisc.br</t>
  </si>
  <si>
    <t>Fauth, Gerson/AAE-3353-2021</t>
  </si>
  <si>
    <t>Fauth, Gerson/0000-0003-2594-1424</t>
  </si>
  <si>
    <t>OCT 21</t>
  </si>
  <si>
    <t>10.1016/j.palaeo.2004.07.020</t>
  </si>
  <si>
    <t>865TL</t>
  </si>
  <si>
    <t>WOS:000224725800009</t>
  </si>
  <si>
    <t>King, EC; Woodward, J; Smith, AM</t>
  </si>
  <si>
    <t>Seismic evidence for a water-filled canal in deforming till beneath Rutford Ice Stream, West Antarctica</t>
  </si>
  <si>
    <t>BASAL CONDITIONS; BED</t>
  </si>
  <si>
    <t>Seismic data from Rutford Ice Stream, West Antarctica show high amplitude, reversed-polarity reflections from parts of the bed. Only interfaces between ice and water, or between water and sediment have the acoustic properties to produce such strong reflections - ice/sediment interfaces produce much weaker echoes. The evidence suggests that an area of the ice stream measuring at least 1 km by 0.2 km is underlain by water with a depth of less than 1 m. The data are consistent with the presence of a sub-ice drainage system comprising shallow canals cut into the sedimentary substrate, as predicted by theory.</t>
  </si>
  <si>
    <t>British Antarctic Survey, Cambridge CB3 0ET, England; Northumbria Univ, Sch Appl Sci, Div Geog, Newcastle Upon Tyne NE1 8ST, Tyne &amp; Wear, England</t>
  </si>
  <si>
    <t>UK Research &amp; Innovation (UKRI); Natural Environment Research Council (NERC); NERC British Antarctic Survey; Northumbria University</t>
  </si>
  <si>
    <t>ecki@bas.ac.uk</t>
  </si>
  <si>
    <t>Woodward, John/I-1046-2013</t>
  </si>
  <si>
    <t>Woodward, John/0000-0002-4980-4080</t>
  </si>
  <si>
    <t>OCT 19</t>
  </si>
  <si>
    <t>L20401</t>
  </si>
  <si>
    <t>10.1029/2004GL020379</t>
  </si>
  <si>
    <t>867XH</t>
  </si>
  <si>
    <t>WOS:000224875600001</t>
  </si>
  <si>
    <t>Hara, K; Osada, K; Kido, M; Hayashi, M; Matsunaga, K; Iwasaka, Y; Yamanouchi, T; Hashida, G; Fukatsu, T</t>
  </si>
  <si>
    <t>Chemistry of sea-salt particles and inorganic halogen species in Antarctic regions: Compositional differences between coastal and inland stations</t>
  </si>
  <si>
    <t>aerosols; Antarctica; sea salts</t>
  </si>
  <si>
    <t>TROPOSPHERIC OZONE DEPLETION; INDIVIDUAL AEROSOL-PARTICLES; MARINE BOUNDARY-LAYER; ARCTIC TROPOSPHERE; SOUTHERN-OCEAN; BROMINE; FRACTIONATION; SEGREGATION; NITROGEN; SUMMER</t>
  </si>
  <si>
    <t>[1] Observations of aerosol constituents and acidic gases in the Antarctic area were carried out at Syowa (39.58degreesE, 69.00degreesS) in 1997 and 1998 and Dome Fuji stations (39.62degreesE, 77.37degreesS) in 1997. Sea-salt concentrations decreased to background levels in the summer at both Syowa (Na+, less than or equal to4 nmol m(-3)) and Dome Fuji (Na+, similar to0.44 nmol m(-3) on average). During the winter, blizzard and strong wind may cause an increase of sea-salt particles at Syowa, whereas long-range transport from the boundary layer at midlatitudes and coastal Antarctic regions may contribute significantly to the increase in sea-salt particles observed at Dome Fuji. Particulate Cl- and Br- are liberated preferentially from sea-salt particles at Syowa and Dome Fuji in the summer. The molar ratio of Cl-/ Na+ and Br-/Na+ at Syowa decreased to similar to0.5 and approximate to0, respectively, in summer. At Dome Fuji more Cl- tend to be liberated from sea-salt particles thorough heterogeneous NO3- formation. The concentrations of gaseous chlorine species ( mostly HCl) and bromine species ranged from 0.2 to 5.3 nmol m(-3) and below detection limit (BDL) to 1.5 nmol m(-3), respectively, corresponding to sea-salt modification. In the present study, SO42- depletion due to mirabilite formation was observed not only at Syowa but also at Dome Fuji. This evidence suggests that SO42- depletion might occur through sublimation on snow surfaces in addition to seawater freezing. At Syowa, sea-salt fractionation relating to Mg2+, K+, and Ca2+ was also observed mostly under strong wind conditions.</t>
  </si>
  <si>
    <t>Natl Inst Polar Res, Itabashi Ku, Tokyo 1738515, Japan; Tokai Bur Telecommun, Higashi Ku, Nagoya, Aichi 4618795, Japan; Fukuoka Univ, Dept Earth Syst Sci, Jyonan Ku, Fukuoka 8141480, Japan; Nagoya Univ, Grad Sch Earth &amp; Environm Sci, Chikusa Ku, Aichi 4648601, Japan; Toyama Prefectural Environm Sci Res Ctr, Toyama 9390363, Japan</t>
  </si>
  <si>
    <t>Research Organization of Information &amp; Systems (ROIS); National Institute of Polar Research (NIPR) - Japan; Fukuoka University; Nagoya University; Toyama Prefectural University</t>
  </si>
  <si>
    <t>Natl Inst Polar Res, Itabashi Ku, 1-9-10 Kaga, Tokyo 1738515, Japan.</t>
  </si>
  <si>
    <t>Yamanouchi, Takashi/P-2041-2015; Hara, Keiichiro/N-8264-2018; Osada, Kazuo/I-6395-2014</t>
  </si>
  <si>
    <t>Hara, Keiichiro/0000-0001-7440-7776; Osada, Kazuo/0000-0003-3100-5835</t>
  </si>
  <si>
    <t>D20208</t>
  </si>
  <si>
    <t>10.1029/2004JD004713</t>
  </si>
  <si>
    <t>867XQ</t>
  </si>
  <si>
    <t>WOS:000224876600009</t>
  </si>
  <si>
    <t>Parrenin, F; Rémy, F; Ritz, C; Siegert, MJ; Jouzel, J</t>
  </si>
  <si>
    <t>New modeling of the Vostok ice flow line and implication for the glaciological chronology of the Vostok ice core -: art. no. D20102</t>
  </si>
  <si>
    <t>glaciology; paleoclimatology; Antarctica; inverse theory</t>
  </si>
  <si>
    <t>ANTARCTIC ICE; CLIMATE-CHANGE; GREENLAND; TEMPERATURE; RECORD; SHEET</t>
  </si>
  <si>
    <t>[1] We have used new spaceborne ( elevation) and airborne ( ice thickness) data to constrain a 2D1/2 model of snow accumulation and ice flow along the Ridge B-Vostok station ice flow line ( East Antarctica). We show that new evaluations of the ice flow line geometry ( from the surface elevation), ice thickness ( from low-frequency radar data), and basal melting and sliding change significantly the chronology of the Vostok ice core. This new Vostok dating model reconciles orbital and glaciological timescales and is in good agreement with the Dome Fuji glaciological timescale. At the same time, the new model shows significantly older ages than the previous GT4 timescale for the last glacial part, being thus in better agreement with the GRIP and GISP2 chronologies.</t>
  </si>
  <si>
    <t>Lab Etudes Geophys &amp; Oceanog Spatiales, F-31400 Toulouse, France; Lab Glaciol &amp; Geophys Environm, F-38400 St Martin Dheres, France; Bristol Glaciol Ctr, Bristol BS8 1SS, Avon, England; IPSL, Lab Sci Climat &amp; Environm, F-91191 Gif Sur Yvette, France</t>
  </si>
  <si>
    <t>Universite de Toulouse; Universite Toulouse III - Paul Sabatier; Centre National de la Recherche Scientifique (CNRS); Institut de Recherche pour le Developpement (IRD); Laboratoire d'Etudes en Geophysique et oceanographie spatiales; CEA; Centre National de la Recherche Scientifique (CNRS); Universite Paris Saclay; Universite Paris Cite</t>
  </si>
  <si>
    <t>Lab Etudes Geophys &amp; Oceanog Spatiales, F-31400 Toulouse, France.</t>
  </si>
  <si>
    <t>parrenin@notos.cst.cnes.fr</t>
  </si>
  <si>
    <t>Siegert, Martin/M-9939-2019; Parrenin, Frédéric/H-3054-2014; Siegert, Martin J/A-3826-2008</t>
  </si>
  <si>
    <t>Siegert, Martin/0000-0002-0090-4806; Parrenin, Frédéric/0000-0002-9489-3991; Siegert, Martin J/0000-0002-0090-4806; Ritz, Catherine/0000-0003-0785-8571</t>
  </si>
  <si>
    <t>D20102</t>
  </si>
  <si>
    <t>10.1029/2004JD004561</t>
  </si>
  <si>
    <t>WOS:000224876600004</t>
  </si>
  <si>
    <t>Galbraith, ED; Kienast, M; Pedersen, TF; Calvert, SE</t>
  </si>
  <si>
    <t>Glacial-interglacial modulation of the marine nitrogen cycle by high-latitude O2 supply to the global thermocline -: art. no. PA4007</t>
  </si>
  <si>
    <t>isotopes; fixation; denitrification</t>
  </si>
  <si>
    <t>ANTARCTIC INTERMEDIATE WATER; ARABIAN SEA DENITRIFICATION; TROPICAL NORTH PACIFIC; OXYGEN MINIMUM ZONE; SOUTH CHINA SEA; ISOTOPIC COMPOSITION; MILLENNIAL-SCALE; ORGANIC-MATTER; PHOSPHORUS LIMITATION; PRIMARY PRODUCTIVITY</t>
  </si>
  <si>
    <t>[1] An analysis of sedimentary nitrogen isotope records compiled from widely distributed marine environments emphasizes the global synchrony of denitrification changes and provides evidence for a strong temporal coupling of these variations to changes in nitrogen fixation as previously inferred. We explain the global coherence of these records by a simple physical control on the flux of dissolved oxygen to suboxic zones and the coupling to fixation via the supply of phosphorus to diazotrophs in suitable environments. According to our hypothesis, lower glacial-stage sea surface temperature increased oxygen solubility, while stronger winds in high-latitude regions enhanced the rate of thermocline ventilation. The resultant colder, rapidly flushed thermocline lessened the spatial extent of denitrification and, consequently, N fixation. During warm periods, sluggish circulation of warmer, less oxygen rich thermocline waters caused expansion of denitrification zones and a concomitant increase in N fixation. Local fluctuations in export productivity would have modulated this global signal.</t>
  </si>
  <si>
    <t>Univ British Columbia, Dept Earth &amp; Ocean Sci, Vancouver, BC V6T 1Z4, Canada; Woods Hole Oceanog Inst, Dept Marine Chem &amp; Geochem, Woods Hole, MA 02543 USA</t>
  </si>
  <si>
    <t>University of British Columbia; Woods Hole Oceanographic Institution</t>
  </si>
  <si>
    <t>Univ British Columbia, Dept Earth &amp; Ocean Sci, Vancouver, BC V6T 1Z4, Canada.</t>
  </si>
  <si>
    <t>egalbraith@eos.ubc.ca</t>
  </si>
  <si>
    <t>Galbraith, Eric D./F-9469-2014</t>
  </si>
  <si>
    <t>Galbraith, Eric D./0000-0003-4476-4232</t>
  </si>
  <si>
    <t>OCT 16</t>
  </si>
  <si>
    <t>PA4007</t>
  </si>
  <si>
    <t>10.1029/2003PA001000</t>
  </si>
  <si>
    <t>863SI</t>
  </si>
  <si>
    <t>WOS:000224581900002</t>
  </si>
  <si>
    <t>Neil, HL; Carter, L; Morris, MY</t>
  </si>
  <si>
    <t>Thermal isolation of Campbell Plateau, New Zealand, by the Antarctic Circumpolar Current over the past 130 kyr</t>
  </si>
  <si>
    <t>paleoceanography; stable isotopes; descriptive regional oceanography</t>
  </si>
  <si>
    <t>SOUTHWEST PACIFIC-OCEAN; LAST GLACIAL MAXIMUM; EASTERN NEW-ZEALAND; RADIOCARBON AGE CALIBRATION; SEA-SURFACE TEMPERATURES; SOUTHEASTERN NEW-ZEALAND; WESTERN BOUNDARY CURRENT; PLANKTONIC-FORAMINIFERA; SW PACIFIC; CHATHAM RISE</t>
  </si>
  <si>
    <t>[1] Campbell Plateau occupies a key position in the southwest Pacific sector of the Southern Ocean. The plateau confines and steers the Antarctic Circumpolar Current (ACC) along its flanks, isolating the Subantarctic plateau from cold polar waters. Oxygen and carbon isotope records from Campbell Plateau cores provide new records of water mass stratification for the past 130 kyr. During glacial climes, strengthening of the Subantarctic Front (SAF) caused waters over the plateau flanks to be deeply mixed and similar to3degreesC cooler. Waters of the plateau interior remained stratified and isolated from the cold southern waters. In the west, waters cooled markedly (similar to4degreesC) owing to reduced entrainment of Tasman Sea water. Marked cooling also occurred north of Campbell Plateau under increased entrainment of polar water by a branch of the SAF. The ACC remained along the flanks of Campbell Plateau during the last interglacial, when interior waters were stratified and warmer by similar to1degreesC than now.</t>
  </si>
  <si>
    <t>Natl Inst Water &amp; Atmosphere, Wellington, New Zealand; Fdn Res Sci &amp; Technol, Wellington, New Zealand</t>
  </si>
  <si>
    <t>National Institute of Water &amp; Atmospheric Research (NIWA) - New Zealand</t>
  </si>
  <si>
    <t>Neil, HL (corresponding author), Natl Inst Water &amp; Atmosphere, POB 14-901, Wellington, New Zealand.</t>
  </si>
  <si>
    <t>h.neil@niwa.co.nz</t>
  </si>
  <si>
    <t>PA4008</t>
  </si>
  <si>
    <t>10.1029/2003PA000975</t>
  </si>
  <si>
    <t>WOS:000224581900001</t>
  </si>
  <si>
    <t>Grimalt, JO; Borghini, F; Sanchez-Hernandez, JC; Barra, R; García, CJT; Focardi, S</t>
  </si>
  <si>
    <t>Temperature dependence of the distribution of organochlorine compounds in the mosses of the Andean mountains</t>
  </si>
  <si>
    <t>ENVIRONMENTAL SCIENCE &amp; TECHNOLOGY</t>
  </si>
  <si>
    <t>PERSISTENT ORGANIC POLLUTANTS; CHLORINATED HYDROCARBONS; ATLANTIC-OCEAN; AIR; PCBS; TROPOSPHERE; SOILS; LAKES; ACCUMULATION; BIPHENYLS</t>
  </si>
  <si>
    <t>Organochlorine compounds (OC), namely pentachlorobenzene, hexachlorobenzene, hexachlorocyclohexanes, polychlorobiphenyls (PCBs), and DDTs, have been studied in mosses distributed over three altitude gradients of the Andean mountains in Chile at 18degreesS (3200-4500 m above sea level), 37degreesS (345-1330 m), and 45degreesS (10-700 m). The observed concentrations range among the lowest values ever reported in remote sites, but they are still higher than those found in previously studied Antarctic areas. The log transformed OC concentrations show a significant linear dependence from reciprocal of temperature independently of the origin of the compounds, e.g. industrial, agricultural, or mixed. In the case of the more volatile OC these correlations involve variance percentages higher than 50%. This good agreement gives further ground to temperature as the driving factor for the retention of long-range transported OC in remote ecosystems, including those in the southern hemisphere such as the Andean mountains. In the context of the samples selected for study, the temperature dependences in the areas of similar latitude are related to altitude. Thus, all OC in the highest altitude gradient (18degreesS) and most compounds in the other two profiles (37degreesS and 45degreesS) exhibit higher concentrations with decreasing annual average temperature and thus increase with elevation above sea level. However, theoretical examination of the exponential equation relating OC concentrations to reciprocal of absolute temperatures shows that besides the temperature differences between highest and lowest elevation, the most relevant factor determining the OC concentration gradients is the lowest temperature value of each altitudinal series. That is, the point at highest elevation.</t>
  </si>
  <si>
    <t>CSIC, ICER, ES-08034 Barcelona, Spain; Univ Siena, Dept Environm Sci, I-53100 Siena, Italy; Univ Castilla La Mancha, Dept Environm Sci, Toledo 45071, Spain; Univ Concepcion, EULA, Chile Environm Sci Ctr, Aquat Syst Res Unit, Concepcion, Chile</t>
  </si>
  <si>
    <t>Consejo Superior de Investigaciones Cientificas (CSIC); University of Siena; Universidad de Castilla-La Mancha; Universidad de Concepcion</t>
  </si>
  <si>
    <t>CSIC, ICER, Jordi Girona 18, ES-08034 Barcelona, Spain.</t>
  </si>
  <si>
    <t>jgoqam@cid.csic.es</t>
  </si>
  <si>
    <t>Barra, Ricardo O./A-5543-2009; Torres, Carlos/L-9035-2018; Sanchez-Hernandez, Juan C./E-8928-2011; Grimalt, Joan/E-2073-2011</t>
  </si>
  <si>
    <t>Barra, Ricardo O./0000-0002-1567-7722; Torres, Carlos/0000-0002-5382-8835; Sanchez-Hernandez, Juan C./0000-0002-8295-0979; Grimalt, Joan/0000-0002-7391-5768</t>
  </si>
  <si>
    <t>0013-936X</t>
  </si>
  <si>
    <t>1520-5851</t>
  </si>
  <si>
    <t>ENVIRON SCI TECHNOL</t>
  </si>
  <si>
    <t>Environ. Sci. Technol.</t>
  </si>
  <si>
    <t>OCT 15</t>
  </si>
  <si>
    <t>10.1021/es040051m</t>
  </si>
  <si>
    <t>862VO</t>
  </si>
  <si>
    <t>WOS:000224519500024</t>
  </si>
  <si>
    <t>Abel, GA; Smith, AJ; Meredith, NP; Anderson, RR</t>
  </si>
  <si>
    <t>Temporal evolution of substorm-enhanced whistler-mode waves: Relationship between space-based observations, ground-based observations, and energetic electrons</t>
  </si>
  <si>
    <t>substorm; chorus; wave particle interaction; electrons; whistlers</t>
  </si>
  <si>
    <t>CHORUS; MAGNETOSPHERE; ACCELERATION; CRRES; DISTRIBUTIONS</t>
  </si>
  <si>
    <t>[1] We examine 22 case studies of CRRES satellite observations of substorm-enhanced whistler-mode waves. These observations were made close to the geomagnetic equator and between 0200 and 0600 MLT. The frequency of the enhanced whistler-mode waves is seen to vary strongly with magnetic field strength, and for this reason we plot the data in terms of the equivalent parallel resonant energy of an electron in first-order cyclotron resonance with a wave of a given frequency. No consistent increase or decrease of the equivalent parallel resonant energy of the substorm-enhanced whistler-mode waves with time is seen; rather the typical behavior is that it remains constant with time. We interpret our findings in terms of the injected electron population and resonance ellipses in velocity space. Furthermore, we relate the findings of our study to observations of ducted waves seen on the ground as substorm chorus events (SCEs) and conclude that the frequency dispersion seen in SCEs is dominated by electric field effects.</t>
  </si>
  <si>
    <t>British Antarctic Survey, NERC, Cambridge CB3 0ET, England; UCL, Mullard Space Sci Lab, Dorking RH5 6NT, Surrey, England; Univ Iowa, Dept Phys &amp; Astron, Iowa City, IA 52242 USA</t>
  </si>
  <si>
    <t>UK Research &amp; Innovation (UKRI); Natural Environment Research Council (NERC); NERC British Antarctic Survey; University of London; University College London; University of Iowa</t>
  </si>
  <si>
    <t>gaab@bas.ac.uk; ajsm@bas.ac.uk; npm@mssl.ucl.ac.uk; roger-r-anderson@uiowa.edu</t>
  </si>
  <si>
    <t>Meredith, Nigel P/C-5806-2018; Abel, Gary/ABE-1765-2021</t>
  </si>
  <si>
    <t>Abel, Gary/0000-0003-2231-5161; Horne, Richard/0000-0002-0412-6407; Meredith, Nigel/0000-0001-5032-3463</t>
  </si>
  <si>
    <t>A10</t>
  </si>
  <si>
    <t>A10207</t>
  </si>
  <si>
    <t>10.1029/2004JA010407</t>
  </si>
  <si>
    <t>863SC</t>
  </si>
  <si>
    <t>WOS:000224581300004</t>
  </si>
  <si>
    <t>Schiermeier, Q</t>
  </si>
  <si>
    <t>Antarctic stations: Cold comfort</t>
  </si>
  <si>
    <t>OCT 14</t>
  </si>
  <si>
    <t>10.1038/431734a</t>
  </si>
  <si>
    <t>861RE</t>
  </si>
  <si>
    <t>WOS:000224435500012</t>
  </si>
  <si>
    <t>Stark, AA; Martin, CL; Walsh, WM; Xiao, KC; Lane, AP; Walker, CK</t>
  </si>
  <si>
    <t>Gas density, stability, and starbursts near the inner Lindblad resonance of the Milky Way</t>
  </si>
  <si>
    <t>galaxies : starburst; Galaxy : structure; ISM : clouds; ISM : molecules; stars : formation</t>
  </si>
  <si>
    <t>GALACTIC-CENTER REGION; SCALE CO SURVEY; MAGNETIC-FIELDS; MOLECULAR CLOUDS; GALAXIES; DYNAMICS; KINEMATICS; AST/RO</t>
  </si>
  <si>
    <t>A key project of the Antarctic Submillimeter Telescope and Remote Observatory reported by Martin et al. is the mapping of CO J=4--&gt;3 and J=7--&gt;6 emission from the inner Milky Way, allowing determination of gas density and temperature. Galactic center gas that Binney et al. identify as being on x(2) orbits has a density near 10(3.5) cm(-3), which renders it only marginally stable against gravitational coagulation into a few giant molecular clouds, as discussed by Elmegreen. This suggests a relaxation oscillator mechanism for starbursts in the Milky Way, whereby inflowing gas accumulates in a ring at 150 pc radius until the critical density is reached and the resulting instability leads to the sudden formation of giant clouds and the deposition of 4x10(7) M-circle dot of gas onto the Galactic center. Depending on the accretion rate near the inner Lindblad resonance, this cycle will repeat with a timescale of order 20 Myr.</t>
  </si>
  <si>
    <t>Harvard Smithsonian Ctr Astrophys, Cambridge, MA 02138 USA; Univ Arizona, Steward Observ, Tucson, AZ 85721 USA</t>
  </si>
  <si>
    <t>Harvard University; Smithsonian Institution; Smithsonian Astrophysical Observatory; University of Arizona</t>
  </si>
  <si>
    <t>Harvard Smithsonian Ctr Astrophys, 60 Garden St, Cambridge, MA 02138 USA.</t>
  </si>
  <si>
    <t>aas@cfa.harvard.edu; cwalker@as.arizona.edu</t>
  </si>
  <si>
    <t>Walsh, Wilfred/0000-0002-6054-6414; Stark, Antony/0000-0002-2718-9996; Martin, Christopher/0000-0002-8078-8859</t>
  </si>
  <si>
    <t>OCT 10</t>
  </si>
  <si>
    <t>L41</t>
  </si>
  <si>
    <t>L44</t>
  </si>
  <si>
    <t>10.1086/425304</t>
  </si>
  <si>
    <t>860TV</t>
  </si>
  <si>
    <t>WOS:000224367100011</t>
  </si>
  <si>
    <t>Averyt, KB; Paytan, A</t>
  </si>
  <si>
    <t>A comparison of multiple proxies for export production in the equatorial Pacific</t>
  </si>
  <si>
    <t>marine barite; excess Ba; bulk ratios</t>
  </si>
  <si>
    <t>PARTICULATE BARIUM FLUXES; ANTARCTIC SEA-ICE; ATMOSPHERIC CO2; SOUTHERN-OCEAN; BENTHIC FORAMINIFERA; SUSPENDED BARITE; DEEP-SEA; CARBONATE DISSOLUTION; EXTRATERRESTRIAL HE-3; BIOGENIC SEDIMENT</t>
  </si>
  <si>
    <t>Several commonly used paleoproductivity proxies were compared to evaluate the validity of assumptions and limitations associated with each proxy. Export production fluxes (C-export) over glacial-interglacial timescales were calculated from previously developed, proxy-specific algorithms at TTN013-pc72 and TTN013-pc114, both located in the equatorial Pacific. Comparison of data from the same core intervals yields conflicting results despite calibrations based on the same core top samples. The periodicity of marine barite, excess Ba, and excess Al-based C-export records is similar. The relative magnitude of C-export when calculated using excess Ba and algorithms based on sediment trap data is significantly different than records based on core top calibrations, particularly during glacial intervals. At both sites, bulk sedimentary Al/Ti and Ba/Ti ratios covary; however, these ratios do not correspond with the downcore records of their respective excess concentrations (and their accumulation rates), or with contemporaneous records based on marine barite, excess Ba, and excess Al accumulation. Although downcore records based on sediment mass accumulation rates may be compromised by sediment focusing, this process cannot explain all the differences observed among the various data sets presented here. This implies that some or all of these proxies do not exclusively respond to changes in export production. The contradictions among these data highlight the importance of addressing inconsistencies among paleoproxies and re-examining assumptions imbedded in proxy fundamentals, prior to applying paleoproductivity proxies and interpreting paleoceanographic records.</t>
  </si>
  <si>
    <t>Stanford Univ, Dept Geol &amp; Environm Sci, Stanford, CA 94305 USA</t>
  </si>
  <si>
    <t>Stanford Univ, Dept Geol &amp; Environm Sci, 320 Braun Hall, Stanford, CA 94305 USA.</t>
  </si>
  <si>
    <t>kaveryt@pangea.stanford.edu</t>
  </si>
  <si>
    <t>OCT 8</t>
  </si>
  <si>
    <t>PA4003</t>
  </si>
  <si>
    <t>10.1029/2004PA001005</t>
  </si>
  <si>
    <t>861QE</t>
  </si>
  <si>
    <t>WOS:000224431500002</t>
  </si>
  <si>
    <t>Hirsch, TK; Ojamäe, L</t>
  </si>
  <si>
    <t>Quantum-chemical and force-field investigations of ice Ih:: Computation of proton-ordered structures and prediction of their lattice energies</t>
  </si>
  <si>
    <t>CORRELATED MOLECULAR CALCULATIONS; GAUSSIAN-BASIS SETS; PHASE-TRANSITION; ANTARCTIC ICE; HYDROGEN-BOND; 2 KINDS; CRYSTALS; ATOMS; WATER; APPROXIMATION</t>
  </si>
  <si>
    <t>The different possible proton-ordered structures of ice Ih for an orthorombic unit cell with 8 water molecules were derived. The number of unique structures was found to be 16. The crystallographic coordinates of these are reported. The energetics of the different polymorphs were investigated by quantum-mechanical density-functional theory calculations and for comparison by molecular-mechanics analytical potential models. The polymorphs were found to be close in energy, i.e., within approximately 0.25 kcal/mol H2O, on the basis of the quantum-chemical DFT methods. At 277 K, the different energy levels are about evenly populated, but at a lower temperature, a transition to an ordered form is expected. This form was found to agree with the ice phase XI. The difference in lattice energies among the polymorphs was rationalized in terms of structural characteristics. The most important parameters to determine the lattice energies were found to be the distributions of water dimer H-bonded pair conformations, in an intricate manner.</t>
  </si>
  <si>
    <t>Linkoping Univ, IFM, Dept Chem, SE-58183 Linkoping, Sweden; Stockholm Univ, Arrhenius Lab, SE-10691 Stockholm, Sweden</t>
  </si>
  <si>
    <t>Linkoping University; Stockholm University</t>
  </si>
  <si>
    <t>Linkoping Univ, IFM, Dept Chem, SE-58183 Linkoping, Sweden.</t>
  </si>
  <si>
    <t>Ojamae, Lars/C-4974-2015</t>
  </si>
  <si>
    <t>Ojamae, Lars/0000-0002-5341-2637</t>
  </si>
  <si>
    <t>1520-5207</t>
  </si>
  <si>
    <t>OCT 7</t>
  </si>
  <si>
    <t>10.1021/jp048434u</t>
  </si>
  <si>
    <t>858TA</t>
  </si>
  <si>
    <t>WOS:000224213500057</t>
  </si>
  <si>
    <t>Markwick, PJ; Valdes, PJ</t>
  </si>
  <si>
    <t>Palaeo-digital elevation models for use as boundary conditions in coupled ocean-atmo sphere GCM experiments: a Maastrichtian (late Cretaceous) example</t>
  </si>
  <si>
    <t>palaeogeography; geographic information system; cretaceous; digital elevation model; drainage analysis; palaeoclimatology</t>
  </si>
  <si>
    <t>ANTARCTIC RIFT SYSTEM; CLIMATE MODEL; TECTONIC EVOLUTION; EQUABLE CLIMATES; CONTINENTAL-DRIFT; ANDEAN TECTONICS; TRIPLE JUNCTION; CENOZOIC UPLIFT; SOUTHERN ASIA; SURFACE</t>
  </si>
  <si>
    <t>Palaeogeography (specifically palaeotopography and palaeobathymetry) provides an essential boundary condition for computer-based atmosphere and ocean modelling. It also provides the geographic context for understanding surface processes (palaeodrainage, palaeoweathering) and biotic interactions (palaeoecology, palaeobiogeography). With increased model resolution, coupled ocean-atmosphere general circulation models (GCMs) and the addition of vegetation, soil (weathering), ice and chemical modules, there is now a need for more robust, detailed palaeotopographies and palaeobathymetries that are fully integrated with the processes being modelled, especially the hydrological system. Here, we present a new geographic information system (GIS)-based, hydrologically correct, palaeo-digital elevation model (DEM) for the Maastrichtian (late Cretaceous). We describe the methods and concepts used to construct the map, and draw attention to the limits imposed by scale and uncertainty, and how these factors must be considered as part of the error analysis of derived model results. The underlying palaeogeography is one of a series of 27 global maps that represent the stages of the Cretaceous and sub-epochs of the Cenozoic. Each map is generated at a scale of 1:30 million in ArcView(R) GIS and ArcInfo(TM), using data from the lead author's own databases of lithologic, tectonic and fossil information, the lithologic databases of the Paleogeographic Atlas Project (The University of Chicago), a survey of published literature, and DSDP/ODP data. Interpretations of elevation are derived following the methods outlined in Ziegler et al. (Ziegler, A.M., Rowley, D.B., Lottes, A.L., Sahagian, D.L., Hulver, M.L., Gierlowski, T.C., 1985. Paleogeographic interpretation: with an example from the Mid-Cretaceous. Annual Review of Earth and Planetary Sciences, 13: 385-425), an understanding of the tectonic regime and evolution of each feature, and the age-depth relationship for the ocean. The global palaeo-DEM was derived using the elevation contours from the paleogeography and the suite of hydrological tools available in ArcInfo(TM) GRID. The palaeo-DEM has been constrained by defining areas of internal palaeodrainage, palaeoriver mouths and known palaeoriver courses. The Maastrichtian has been completed first to provide the boundary conditions for a series of coupled atmosphere-ocean experiments. When integrated with the results of the coupled ocean-atmosphere model, the result is a powerful tool for understanding surface processes and an important step towards the development of a continuous series representing a fully evolving palaeolandscape. (C) 2004 Elsevier B.V. All rights reserved.</t>
  </si>
  <si>
    <t>Fugro Robertson Ltd Res Inst, Llandudno LL30 1SA, Wales; Univ Bristol, Sch Geog Sci, Bristol BS8 1SS, Avon, England</t>
  </si>
  <si>
    <t>University of Bristol</t>
  </si>
  <si>
    <t>Fugro Robertson Ltd Res Inst, Tyn &amp; Coed Site, Llandudno LL30 1SA, Wales.</t>
  </si>
  <si>
    <t>paul@markwick001.freeserve.co.uk; pj.valdes@bristol.ac.uk</t>
  </si>
  <si>
    <t>Valdes, Paul/T-2004-2019</t>
  </si>
  <si>
    <t>Valdes, Paul/0000-0002-1902-3283</t>
  </si>
  <si>
    <t>10.1016/j.palaeo.2004.06.015</t>
  </si>
  <si>
    <t>861UA</t>
  </si>
  <si>
    <t>WOS:000224442900002</t>
  </si>
  <si>
    <t>Kuwabara, T; Munakata, K; Yasue, S; Kato, C; Akahane, S; Koyama, M; Bieber, JW; Evenson, P; Pyle, R; Fujii, Z; Tokumaru, M; Kojima, M; Marubashi, K; Duldig, ML; Humble, JE; Silva, MR; Trivedi, NB; Gonzalez, WD; Schuch, NJ</t>
  </si>
  <si>
    <t>Geometry of an interplanetary CME on October 29, 2003 deduced from cosmic rays</t>
  </si>
  <si>
    <t>GEOMAGNETIC STORMS</t>
  </si>
  <si>
    <t>A coronal mass ejection (CME) associated with an X17 solar flare reached Earth on October 29, 2003, causing an similar to11% decrease in the intensity of high-energy Galactic cosmic rays recorded by muon detectors. The CME also produced a strong enhancement of the cosmic ray directional anisotropy. Based upon a simple inclined cylinder model, we use the anisotropy data to derive for the first time the three-dimensional geometry of the cosmic ray depleted region formed behind the shock in this event. We also compare the geometry derived from cosmic rays with that derived from in situ interplanetary magnetic field (IMF) observations using a Magnetic Flux Rope model.</t>
  </si>
  <si>
    <t>Shinshu Univ, Dept Phys, Matsumoto, Nagano 3908621, Japan; Univ Delaware, Bartol Res Inst, Newark, DE 19716 USA; Australian Antarctic Div, Kingston, Tas 7050, Australia; Nagoya Univ, Solar Terr Environm Lab, Aichi 4648601, Japan; Natl Inst Space Res, So Reg Space Res Ctr, OES CRSPE INPE, BR-97110970 Santa Maria, RS, Brazil; Univ Tasmania, Sch Math &amp; Phys, Hobart, Tas 7001, Australia; Natl Inst Informat &amp; Commun Technol, Tokyo 1848795, Japan</t>
  </si>
  <si>
    <t>Shinshu University; University of Delaware; Australian Antarctic Division; Nagoya University; Instituto Nacional de Pesquisas Espaciais (INPE); University of Tasmania; National Institute of Information &amp; Communications Technology (NICT) - Japan</t>
  </si>
  <si>
    <t>Shinshu Univ, Dept Phys, Matsumoto, Nagano 3908621, Japan.</t>
  </si>
  <si>
    <t>kuma00@gipac.shinshu-u.ac.jp; john@bxclu.bartol.udel.edu</t>
  </si>
  <si>
    <t>Schuch, Nelson Jorge/K-9730-2015; Rockenbach, Marlos/C-1711-2012</t>
  </si>
  <si>
    <t>da Silva, Manoel Ribeiro/0000-0002-0559-9011; Humble, John/0000-0002-4698-1671; Rockenbach, Marlos/0000-0002-9737-9429; Duldig, Marcus/0000-0001-7463-8267</t>
  </si>
  <si>
    <t>OCT 6</t>
  </si>
  <si>
    <t>L19803</t>
  </si>
  <si>
    <t>10.1029/2004GL020803</t>
  </si>
  <si>
    <t>861PH</t>
  </si>
  <si>
    <t>WOS:000224429000005</t>
  </si>
  <si>
    <t>Nguyen, DH; Colvin, ME; Yeh, Y; Feeney, RE; Fink, WH</t>
  </si>
  <si>
    <t>Intermolecular interaction studies of winter flounder antifreeze protein reveal the existence of thermally accessible binding state</t>
  </si>
  <si>
    <t>BIOPOLYMERS</t>
  </si>
  <si>
    <t>biological antifreeze; winter flounder; protein dimer; protein-protein interactions; molecular dynamics (MD)</t>
  </si>
  <si>
    <t>POINT-DEPRESSING GLYCOPROTEINS; ICE GROWTH-INHIBITION; FREEZING-POINT; MOLECULAR-DYNAMICS; ANTARCTIC FISHES; SEA RAVEN; PSEUDOPLEURONECTES-AMERICANUS; HEMITRIPTERUS-AMERICANUS; BIOLOGICAL ANTIFREEZE; PHYSICAL-PROPERTIES</t>
  </si>
  <si>
    <t>The physical nature underlying intermolecular interactions between two rod-like winter flounder antifreeze protein (AFP) molecules and their implication for the mechanism of antifreeze function are examined in this work using molecular dynamics simulations, augmented with free energy calculations employing a continuum solvation model. The energetics for different modes of interactions of two AFP molecules is examined in both vacuum and aqueous phases along with the water distribution in the region encapsulated by two antiparallel AFP backbones. The results show that in a vacuum two AFP molecules intrinsically attract each other in the antiparallel fashion, where their complementary charge side chains face each other directly. In the aqueous environment, this attraction is counteracted by both screening and entropic effects. Therefore, two nearly energetically degenerate states, an aggregated state and a dissociated state, result as a new aspect of intermolecular interaction in the paradigm for the mechanism of action of AFP. The relevance of these findings to the mechanism of function of freezing inhibition in the context of our work on Antarctic cod antifreeze glycoprotein (Nguyen et al., Biophysical Journal, 2002, Vol. 82, pp. 2892-2905) is discussed. (C) 2004 Wiley Periodicals, Inc.</t>
  </si>
  <si>
    <t>Univ Calif Davis, Dept Chem, Davis, CA 95616 USA; Univ Calif Davis, Dept Comp Sci, Davis, CA 95616 USA; Lawrence Livermore Natl Lab, Div Computat &amp; Syst Biol, Livermore, CA 94550 USA; Univ Calif, Sch Nat Sci, Merced, CA 95344 USA; Univ Calif, Sch Engn, Merced, CA 95344 USA; Lawrence Livermore Natl Lab, Div Phys, Livermore, CA 94550 USA; Lawrence Livermore Natl Lab, Biosci Inst, Livermore, CA 94550 USA; Univ Calif Davis, Dept Appl Sci, Davis, CA 95616 USA; Univ Calif Davis, Dept Food Sci &amp; Technol, Davis, CA 95616 USA</t>
  </si>
  <si>
    <t>University of California System; University of California Davis; University of California System; University of California Davis; United States Department of Energy (DOE); Lawrence Livermore National Laboratory; University of California System; University of California Merced; University of California System; University of California Merced; United States Department of Energy (DOE); Lawrence Livermore National Laboratory; United States Department of Energy (DOE); Lawrence Livermore National Laboratory; University of California System; University of California Davis; University of California System; University of California Davis</t>
  </si>
  <si>
    <t>Univ Calif Davis, Dept Chem, Davis, CA 95616 USA.</t>
  </si>
  <si>
    <t>dnguyen@hms.harvard.edu; fink@chem.ucdavis.edu</t>
  </si>
  <si>
    <t>0006-3525</t>
  </si>
  <si>
    <t>1097-0282</t>
  </si>
  <si>
    <t>Biopolymers</t>
  </si>
  <si>
    <t>OCT 5</t>
  </si>
  <si>
    <t>10.1002/bip.20104</t>
  </si>
  <si>
    <t>Biochemistry &amp; Molecular Biology; Biophysics</t>
  </si>
  <si>
    <t>854ZR</t>
  </si>
  <si>
    <t>WOS:000223943100002</t>
  </si>
  <si>
    <t>Huber, C; Leuenberger, M</t>
  </si>
  <si>
    <t>Measurements of isotope and elemental ratios of air from polar ice with a new on-line extraction method</t>
  </si>
  <si>
    <t>atmospheric oxygen; clathrate hydrates; gas isotopes; global change; on-line IRMS; polar ice; atmospheric composition and structure : troposphere-composition and chemistry; global change : atmosphere; hydrology : glaciology</t>
  </si>
  <si>
    <t>ABRUPT CLIMATE-CHANGE; ANTARCTIC ICE; TRAPPED AIR; TEMPERATURE-CHANGE; CENTRAL GREENLAND; AGE-DIFFERENCES; GRIP ICE; CORE; GASES; ACCUMULATION</t>
  </si>
  <si>
    <t>A recently developed continuous on-line extraction and analyzing technique for air trapped in ice cores has been improved and tested. The technique allows fast high-resolution measurements of the isotopic and elemental ratios of the main air components nitrogen, oxygen, and argon. Continuous measurements of up to 1 m long ice sections can be performed with a resolution of similar to3 cm ( running average). For nitrogen and oxygen isotope ratios the accuracy and reproducibility are comparable to conventional melt extraction techniques. It depends on the desired resolution and the composition of the ice. For either pure bubble or complete bubble free ice the reproducibility and accuracy for a resolution of 3 cm are +/-&lt;0.02% for delta(15)N, +/-&lt;0.05% for delta(18)O, and +/-&lt;0.06% for delta(17)O. Furthermore, delta Ar/O(2) (+/- 1%), delta O(2)/N(2), delta Ar/N(2) (both +/- 5-8%), and delta(36)Ar (+/- 0.2-0.3%) can be determined as well. The precision of elemental ratios is good enough to resolve variations that are detected in ice at depths where air bubbles form clathrate hydrates. Surprisingly, at these depths the elemental ratios show roughly annual variations probably due to strong fractionations between air in clathrate hydrates and air in bubbles. On the basis of our measuring precision we cannot exclude similar effects for isotope ratios.</t>
  </si>
  <si>
    <t>Univ Bern, Inst Phys, CH-3012 Bern, Switzerland</t>
  </si>
  <si>
    <t>University of Bern</t>
  </si>
  <si>
    <t>Huber, C (corresponding author), Univ Bern, Inst Phys, Sidlerstr 5, CH-3012 Bern, Switzerland.</t>
  </si>
  <si>
    <t>huber@climate.unibe.ch; leuenberger@climate.unibe.ch</t>
  </si>
  <si>
    <t>Leuenberger, Markus C/K-9655-2016</t>
  </si>
  <si>
    <t>Leuenberger, Markus C/0000-0003-4299-6793; Huber, Christof/0000-0001-5767-045X</t>
  </si>
  <si>
    <t>Q10002</t>
  </si>
  <si>
    <t>10.1029/2004GC000766</t>
  </si>
  <si>
    <t>897WV</t>
  </si>
  <si>
    <t>WOS:000227037700002</t>
  </si>
  <si>
    <t>Zelaya, DG</t>
  </si>
  <si>
    <t>The genus Margarella Thiele, 1893 (Gastropoda: Trochidae) in the southwestern Atlantic Ocean</t>
  </si>
  <si>
    <t>NAUTILUS</t>
  </si>
  <si>
    <t>The taxonomic status of eight species from the southwestern Atlantic and adjacent sub-Antarctic and Antarctic waters, previously referred to either as Margarella or Margarites Gray, 1847, is analyzed. The presence of a first marginal tooth of the radula forming a protolateromarginal plate, a long afferent membrane in the ctenidium and the presence of antero-lateral expansions on the foot (horn-like projections) clearly indicate that southwestern Atlantic species belong to Margarella. On the basis of a morphological analysis of representatives of the genus type species, Margarella is redescribed and the genera Margarites, Margarita, Margaritella and Valvatella are excluded from the Southwestern Atlantic Ocean list of species. The placement of Margarella within the Gibbulini tribe of the subfamily Trochinae is re-affirmed based on anatomical and behavioral observations.</t>
  </si>
  <si>
    <t>Museo La Plata, Div Invertebrate Zool, RA-1900 La Plata, Argentina</t>
  </si>
  <si>
    <t>National University of La Plata; Museo La Plata</t>
  </si>
  <si>
    <t>Zelaya, DG (corresponding author), Museo La Plata, Div Invertebrate Zool, RA-1900 La Plata, Argentina.</t>
  </si>
  <si>
    <t>dzelaya@museo.fcnym.unlp.edu.ar</t>
  </si>
  <si>
    <t>BAILEY-MATTHEWS SHELL MUSEUM</t>
  </si>
  <si>
    <t>SANIBEL</t>
  </si>
  <si>
    <t>C/O DR JOSE H LEAL, ASSOCIATE/MANAGING EDITOR, 3075 SANIBEL-CAPTIVA RD, SANIBEL, FL 33957 USA</t>
  </si>
  <si>
    <t>0028-1344</t>
  </si>
  <si>
    <t>Nautilus</t>
  </si>
  <si>
    <t>OCT 4</t>
  </si>
  <si>
    <t>Marine &amp; Freshwater Biology; Zoology</t>
  </si>
  <si>
    <t>903EJ</t>
  </si>
  <si>
    <t>WOS:000227408000003</t>
  </si>
  <si>
    <t>Bastmeijer, K; Roura, R</t>
  </si>
  <si>
    <t>Regulating antarctic tourism and the precautionary principle</t>
  </si>
  <si>
    <t>AMERICAN JOURNAL OF INTERNATIONAL LAW</t>
  </si>
  <si>
    <t>Tilburg Univ, Fac Law, NL-5000 LE Tilburg, Netherlands; ASOC, Atichting Antarct Network, Amsterdam, Netherlands</t>
  </si>
  <si>
    <t>Tilburg University</t>
  </si>
  <si>
    <t>Roura, R (corresponding author), Tilburg Univ, Fac Law, NL-5000 LE Tilburg, Netherlands.</t>
  </si>
  <si>
    <t>c.j.bastmeijer@uvt.nl; ricardo.roura@worldonline.nl</t>
  </si>
  <si>
    <t>Bastmeijer, Kees/ABG-1133-2021</t>
  </si>
  <si>
    <t>Bastmeijer, Kees/0000-0002-3652-8160</t>
  </si>
  <si>
    <t>AMER SOC INT LAW</t>
  </si>
  <si>
    <t>2223 MASSACHUSETTS AVE N W, WASHINGTON, DC 20008-2864 USA</t>
  </si>
  <si>
    <t>0002-9300</t>
  </si>
  <si>
    <t>AM J INT LAW</t>
  </si>
  <si>
    <t>Am. J. Int. Law</t>
  </si>
  <si>
    <t>OCT</t>
  </si>
  <si>
    <t>10.2307/3216699</t>
  </si>
  <si>
    <t>International Relations; Law</t>
  </si>
  <si>
    <t>International Relations; Government &amp; Law</t>
  </si>
  <si>
    <t>882HW</t>
  </si>
  <si>
    <t>WOS:000225931000009</t>
  </si>
  <si>
    <t>Lawley, B; Ripley, S; Bridge, P; Convey, P</t>
  </si>
  <si>
    <t>Molecular analysis of geographic patterns of eukaryotic diversity in Antarctic soils</t>
  </si>
  <si>
    <t>BACTERIAL COMMUNITY STRUCTURE; MICROBIAL DIVERSITY; SPECIES-DIVERSITY; GENETIC DIVERSITY; GRADIENT; DISPERSAL; SEQUENCES; MARINE; SEA; MICROORGANISMS</t>
  </si>
  <si>
    <t>We describe the application of molecular biological techniques to estimate eukaryotic diversity (primarily fungi, algae, and protists) in Antarctic soils across a latitudinal and environmental gradient between approximately 60 and 87degreesS. The data were used to (i) test the hypothesis that diversity would decrease with increasing southerly latitude and environmental severity, as is generally claimed for higher faunal and plant groups, and (ii) investigate the level of endemicity displayed in different taxonomic groups. Only limited support was obtained for a systematic decrease in diversity with latitude, and then only at the level of a gross comparison between maritime (Antarctic Peninsula/Scotia Arc) and continental Antarctic sites. While the most southerly continental Antarctic site was three to four times less diverse than all maritime sites, there was no evidence for a trend of decreasing diversity across the entire range of the maritime Antarctic (60 to 72degreesS). Rather, we found the reverse pattern, with highest diversity at sites on Alexander Island (ca. 72degreesS), at the southern limit of the maritime Antarctic. The very limited overlap found between the eukaryotic biota of the different study sites, combined with their generally low relatedness to existing sequence databases, indicates a high level of Antarctic site isolation and possibly endemicity, a pattern not consistent with similar studies on other continents.</t>
  </si>
  <si>
    <t>p.convey@bas.ac.uk</t>
  </si>
  <si>
    <t>Convey, Peter/AAV-5728-2020</t>
  </si>
  <si>
    <t>Convey, Peter/0000-0001-8497-9903</t>
  </si>
  <si>
    <t>10.1128/AEM.70.10.5963-5972.2004</t>
  </si>
  <si>
    <t>860PT</t>
  </si>
  <si>
    <t>WOS:000224356200034</t>
  </si>
  <si>
    <t>Jung, DO; Achenbach, LA; Karr, EA; Takaichi, S; Madigan, MT</t>
  </si>
  <si>
    <t>A gas vesiculate planktonic strain of the purple non-sulfur bacterium Rhodoferax antarcticus isolated from Lake Fryxell, Dry Valleys, Antarctica</t>
  </si>
  <si>
    <t>ARCHIVES OF MICROBIOLOGY</t>
  </si>
  <si>
    <t>purple anoxygenic phototrophic bacteria; Lake Fryxell; Antarctica; Rhodoferax antarcticus; gas vesicles; psychrophily</t>
  </si>
  <si>
    <t>PHOTOSYNTHETIC BACTERIA; VESTFOLD HILLS</t>
  </si>
  <si>
    <t>A moderately psychrophilic purple non-sulfur bacterium, Rhodoferax antarcticus strain Fryx1, is described. Strain Fryx1 was isolated from the water column under the ice of the permanently frozen Lake Fryxell, Antarctica. Cells of Fryx1 are long thin rods and contain gas vesicles, the first report of such structures in purple non-sulfur bacteria. Gas vesicles are clustered at 2-4 sites per cell. Surprisingly, the 16S rRNA gene sequence of strain Fryx1 is nearly identical to that of Rfx. antarcticus strain AB, a short, vibrio-shaped phototroph isolated from an Antarctic microbial mat. Although showing physiological parallels, strains AB and Fryx1 differ distinctly in their morphology and absorption spectra. DNA-DNA hybridization shows that the genomes of strains AB and Fryx1 are highly related, yet distinct. We conclude that although strains AB and Fryx1 may indeed be the same species, their ecologies are quite different. Unlike strain AB, strain Fryx1 has adapted to a planktonic existence in the nearly freezing water column of Lake Fryxell.</t>
  </si>
  <si>
    <t>So Illinois Univ, Dept Microbiol, Carbondale, IL 62901 USA; Nippon Med Coll, Biol Lab, Kawasaki, Kanagawa 2110063, Japan</t>
  </si>
  <si>
    <t>Southern Illinois University System; Southern Illinois University; Nippon Medical School</t>
  </si>
  <si>
    <t>So Illinois Univ, Dept Microbiol, Carbondale, IL 62901 USA.</t>
  </si>
  <si>
    <t>madigan@micro.siu.edu</t>
  </si>
  <si>
    <t>Jung, Deborah/0000-0002-8307-8772; Karr, Elizabeth/0000-0003-1200-4028</t>
  </si>
  <si>
    <t>0302-8933</t>
  </si>
  <si>
    <t>1432-072X</t>
  </si>
  <si>
    <t>ARCH MICROBIOL</t>
  </si>
  <si>
    <t>Arch. Microbiol.</t>
  </si>
  <si>
    <t>10.1007/s00203-004-0719-8</t>
  </si>
  <si>
    <t>863IM</t>
  </si>
  <si>
    <t>WOS:000224554800016</t>
  </si>
  <si>
    <t>Watkins, N</t>
  </si>
  <si>
    <t>Citation rates</t>
  </si>
  <si>
    <t>ASTRONOMY &amp; GEOPHYSICS</t>
  </si>
  <si>
    <t>Watkins, N (corresponding author), MIT, Ctr Space Res, Cambridge, MA 02139 USA.</t>
  </si>
  <si>
    <t>Watkins, Nicholas Wynn/C-5140-2008; Watkins, Nick/GPX-7439-2022</t>
  </si>
  <si>
    <t>Watkins, Nicholas Wynn/0000-0003-4484-6588; Watkins, Nick/0000-0003-4484-6588</t>
  </si>
  <si>
    <t>1366-8781</t>
  </si>
  <si>
    <t>ASTRON GEOPHYS</t>
  </si>
  <si>
    <t>Astron. Geophys.</t>
  </si>
  <si>
    <t>10.1093/astrogeo/45.5.5.9</t>
  </si>
  <si>
    <t>Astronomy &amp; Astrophysics; Geochemistry &amp; Geophysics</t>
  </si>
  <si>
    <t>857QX</t>
  </si>
  <si>
    <t>WOS:000224134500016</t>
  </si>
  <si>
    <t>Davis, DD; Eisele, F; Chen, G; Crawford, J; Huey, G; Tanner, D; Slusher, D; Mauldin, L; Oncley, S; Lenschow, D; Semmer, S; Shetter, R; Lefer, B; Arimoto, R; Hogan, A; Grube, P; Lazzara, M; Bandy, A; Thornton, D; Berresheim, H; Bingemer, H; Hutterli, M; McConnell, J; Bales, R; Dibb, J; Buhr, M; Park, J; McMurry, P; Swanson, A; Meinardi, S; Blake, D</t>
  </si>
  <si>
    <t>An overview of ISCAT 2000</t>
  </si>
  <si>
    <t>ATMOSPHERIC ENVIRONMENT</t>
  </si>
  <si>
    <t>SEA-SALT SULFATE; ANTARCTIC ICE-SHEET; METHANE SULFONIC-ACID; SOUTH-POLE; METHANESULFONIC-ACID; BOUNDARY-LAYER; DIMETHYL-SULFOXIDE; BIOGENIC SULFUR; OH; CHEMISTRY</t>
  </si>
  <si>
    <t>The Investigation of Sulfur Chemistry in the Antarctic Troposphere (ISCAT) took place over the timer period of 15 November to 31 December in the year 2000. The study location was the Amundsen Scott Station in Antarctica. ISCAT 2000 defines the second phase of a program designed to explore tropospheric chemistry in Antarctica. As in 1998, the 2000 ISCAT study revealed a strong oxidizing environment at South Pole (SP). During the 2000 investigation, however, the suite of measurements was greatly expanded. These new measurements established the recycling of reactive nitro en 9 as a critical component of this unique environment. This paper first presents the historical background leading up to the ISCAT 2000 observations; then it focuses on providing a summary of the year 2000 results and contrasts these with those recorded during 1998. Important developments made during the 2000 study included the recording of SP data for several species being emitted from the snowpack. These included NO, H2O2 and CH2O. In this context, eddy-diffusion flux measurements provided the first quantitative estimates of the SP NO and NOx snow-to-atmosphere fluxes. This study also revealed that HNO3 and HO2NO2 were major sink species for HOx and NOx radicals. And, it identified the critical factors responsible for SP NO levels exceeding those at other polar sites by nearly an order of magnitude.Finally, it reports on the levels of gas phase sulfur species and provides evidence indicating that the absence of DMS at SP is most likely due to its greatly shorten chemical lifetime in the near vicinity of the plateau. It is proposed that this is due to the influence of NO on the distribution of OH in the lower free troposphere over a region that extends well beyond the plateau itself. Details related to each of the above findings plus others can be found in the 11 accompanying Special Issue papers. (C) 2004 Elsevier Ltd. All rights reserved.</t>
  </si>
  <si>
    <t>Georgia Inst Technol, Sch Earth &amp; Atmospher Sci, Atlanta, GA 30332 USA; Natl Ctr Atmospher Res, Div Atmospher Chem, Boulder, CO 80307 USA; NASA, Langley Res Ctr, Hampton, VA 23681 USA; New Mexico State Univ, Carlsbad Environm Monitoring Res Ctr, Carlsbad, NM 88220 USA; Lyndon State Coll, Lyndon, VT 05851 USA; Univ Wisconsin, Antarct Meteorol Res Ctr, Madison, WI 53706 USA; Drexel Univ, Dept Chem, Philadelphia, PA 19104 USA; Univ Frankfurt, Inst Meteorol &amp; Geophys, D-6000 Frankfurt, Germany; Univ Arizona, Dept Hydrol &amp; Water Resources, Tucson, AZ 85721 USA; Desert Res Inst, Div Hydrol Sci, Reno, NV USA; Univ New Hampshire, Inst Study Earth Oceans &amp; Space, Durham, NH 03824 USA; Sonoma Tech &amp; Air Qual Design, Golden, CO USA; Univ Minnesota, Dept Mech Engn, Minneapolis, MN 55455 USA; Univ Calif Irvine, Dept Chem, Irvine, CA 92717 USA</t>
  </si>
  <si>
    <t>University System of Georgia; Georgia Institute of Technology; National Center Atmospheric Research (NCAR) - USA; National Aeronautics &amp; Space Administration (NASA); NASA Langley Research Center; New Mexico State University; Northern Vermont University; University of Wisconsin System; University of Wisconsin Madison; Drexel University; Goethe University Frankfurt; University of Arizona; Nevada System of Higher Education (NSHE); Desert Research Institute NSHE; University System Of New Hampshire; University of New Hampshire; University of Minnesota System; University of Minnesota Twin Cities; University of California System; University of California Irvine</t>
  </si>
  <si>
    <t>Davis, DD (corresponding author), Georgia Inst Technol, Sch Earth &amp; Atmospher Sci, Atlanta, GA 30332 USA.</t>
  </si>
  <si>
    <t>dd1l6@prism.gatech.edu</t>
  </si>
  <si>
    <t>Lefer, Barry/X-9091-2019; Lefer, Barry L/B-5417-2012; Berresheim, Harald/F-9670-2011; McMurry, Peter H/A-8245-2008; Crawford, James/L-6632-2013</t>
  </si>
  <si>
    <t>Lefer, Barry/0000-0001-9520-5495; Lefer, Barry L/0000-0001-9520-5495; LENSCHOW, DONALD/0000-0003-4353-0098; Crawford, James/0000-0002-6982-0934; Lazzara, Matthew/0000-0002-4343-498X; Blake, Donald/0000-0002-8283-5014</t>
  </si>
  <si>
    <t>1352-2310</t>
  </si>
  <si>
    <t>ATMOS ENVIRON</t>
  </si>
  <si>
    <t>Atmos. Environ.</t>
  </si>
  <si>
    <t>10.1016/j.atmosenv.2004.05.037</t>
  </si>
  <si>
    <t>859QQ</t>
  </si>
  <si>
    <t>WOS:000224283400001</t>
  </si>
  <si>
    <t>Oncley, SP; Buhr, M; Lenschow, DH; Davis, D; Semmer, SR</t>
  </si>
  <si>
    <t>Observations of summertime NO fluxes and boundary-layer height at the South Pole during ISCAT 2000 using scalar similarity</t>
  </si>
  <si>
    <t>polar chemistry and meteorology; NO; flux; boundary-layer height; modified Bowen ratio</t>
  </si>
  <si>
    <t>SURFACE-LAYER; TURBULENCE; GREENLAND; PROFILES; SUMMIT; SNOW</t>
  </si>
  <si>
    <t>Eddy-covariance heat flux as well as temperature and NO concentration gradients were measured during the ISCAT 2000 (Investigation of Sulfur Chemistry in the Antarctic Troposphere) field study at the South Pole (SP). These quantities allowed for the use of the modified Bowen ratio technique to estimate the surface flux of NO and, from photochemical considerations, the NO, flux. The meteorological measurement package employed in these experiments consisted of sonic anemometer/thermometers (ATI K-probes) and temperature/humidity sensors (NCAR). A chemiluminescent analyzer housed in an environmental enclosure was used to measure NO. All sampling took place on a 22 m meteorological tower. The time period over which flux measurements were recorded was 26 November through 30 November 2000. The average value of the NO flux was estimated to be 2.6+/-0.3 x 10(8) molec cm(-2) S-1; whereas, for NO, the average flux was 3.9+/-0.4 x 108 molec cm(-2) s(-1). To assist in the interpretation of these results, the height of the atmospheric boundary-layer at the SP from 23 November to 28 December 2000 was also estimated. (C) 2004 Elsevier Ltd. All rights reserved.</t>
  </si>
  <si>
    <t>Natl Ctr Atmospher Res, Atmospher Technol Div, Boulder, CO 80307 USA; Sonoma Technol Inc, Petaluma, CA 94954 USA; Natl Ctr Atmospher Res, Boulder, CO 80307 USA; Georgia Inst Technol, Atlanta, GA 30332 USA</t>
  </si>
  <si>
    <t>National Center Atmospheric Research (NCAR) - USA; Sonoma Technology, Inc.; National Center Atmospheric Research (NCAR) - USA; University System of Georgia; Georgia Institute of Technology</t>
  </si>
  <si>
    <t>Oncley, SP (corresponding author), Natl Ctr Atmospher Res, Atmospher Technol Div, POB 3000, Boulder, CO 80307 USA.</t>
  </si>
  <si>
    <t>oncley@ucar.edu</t>
  </si>
  <si>
    <t>LENSCHOW, DONALD/0000-0003-4353-0098</t>
  </si>
  <si>
    <t>10.1016/j.atmosenv.2004.05.053</t>
  </si>
  <si>
    <t>WOS:000224283400003</t>
  </si>
  <si>
    <t>Huey, LG; Tanner, DJ; Slusher, DL; Dibb, JE; Arimoto, R; Chen, G; Davis, D; Buhr, MP; Nowak, JB; Mauldin, RL; Eisele, FL; Kosciuch, E</t>
  </si>
  <si>
    <t>CIMS measurements of HNO3 and SO2 at the South Pole during ISCAT 2000</t>
  </si>
  <si>
    <t>nitric acids sulfur dioxide; snowpack photochemistry; pernitric acid; tropospheric chemistry</t>
  </si>
  <si>
    <t>PHOTOCHEMICAL PRODUCTION; AIR; SUMMIT; SNOW; TEMPERATURE; PHOTOLYSIS; DEPENDENCE; CHEMISTRY; NO(X); LAYER</t>
  </si>
  <si>
    <t>HNO3 and SO2 were measured by chemical ionization mass spectrometry at the South Pole (SP) during ISCAT 2000 (December, 2000). HNO3 mixing ratios averaged 22 pptv and ranged from less than 5 to 68 pptv. A simple steady state photochemical analysis indicates that most of the time HNO3 is deposited to the snow with a lifetime of the order of a few hours. Periods of relatively high levels of HNO3 and low levels of NO were observed when air from aloft was mixed downward, but the source of this HNO3 is uncertain. One explanation for these observations is that free tropospheric air, enriched with NOx at lower latitudes, descends to the surface at SP; this process could be an important source of nitrate to the Antarctic Plateau. Another explanation is that these descending air parcels were previously in contact with the surface and enriched with snowpack emissions of NOx upwind of SP. The measured SO2 mixing ratio was found to be less than 20 pptv on average. However, a simple steady state analysis of OH and H2SO4 observations indicates that average SO, levels are most likely less than a few pptv. (C) 2004 Elsevier Ltd. All rights reserved.</t>
  </si>
  <si>
    <t>Georgia Inst Technol, Sch Earth &amp; Atmospher Sci, Atlanta, GA 30332 USA; Georgia Inst Technol, Sch Chem &amp; Biochem, Atlanta, GA 30332 USA; Univ New Hampshire, Inst Study Earth Oceans &amp; Space, Climate Change Res Ctr, Durham, NH USA; New Mexico State Univ, Carlsbad Environm Monitoring &amp; Res Ctr, Carlsbad, NM USA; NCAR, Div Atmospher Chem, Boulder, CO USA</t>
  </si>
  <si>
    <t>University System of Georgia; Georgia Institute of Technology; University System of Georgia; Georgia Institute of Technology; University System Of New Hampshire; University of New Hampshire; New Mexico State University; National Center Atmospheric Research (NCAR) - USA</t>
  </si>
  <si>
    <t>Georgia Inst Technol, Sch Earth &amp; Atmospher Sci, Atlanta, GA 30332 USA.</t>
  </si>
  <si>
    <t>greg.huey@eas.gatech.edu</t>
  </si>
  <si>
    <t>Nowak, John/B-1085-2008</t>
  </si>
  <si>
    <t>Nowak, John/0000-0002-5697-9807</t>
  </si>
  <si>
    <t>1873-2844</t>
  </si>
  <si>
    <t>10.1016/j.atmosenv.2004.04.037</t>
  </si>
  <si>
    <t>WOS:000224283400005</t>
  </si>
  <si>
    <t>Mauldin, RL; Kosciuch, E; Henry, B; Eisele, FL; Shetter, R; Lefer, B; Chen, G; Davis, D; Huey, G; Tanner, D</t>
  </si>
  <si>
    <t>Measurements of OH, HO2+RO2, H2SO4, and MSA at the south pole during ISCAT 2000</t>
  </si>
  <si>
    <t>hydroxyl; sulfuric; OH; HO2; South Pole</t>
  </si>
  <si>
    <t>TROPICAL PACIFIC; MECHANISM; EMISSIONS; RECORD; HOX</t>
  </si>
  <si>
    <t>Measurements of hydroxyl radical (OH), sulfuric acid (H2SO4) and methane sulfonic acid (MSA) together with the first HO2+RO2 observations at the South Pole are presented. These results were recorded as part of the Investigation of Sulfur Chemistry in the Antarctic Troposphere 2000 (ISCAT 2000) study. OH concentrations were found to be highly elevated, having a mean value over the time period of 15 November-30 December 2000 of 2.5 x 10(6) molecule CM-3, thus confirming the results from ISCAT 1998. Although data were more limited for the sum of HO2 + RO2, a mean value of similar to7 x 10(7) molecule CM-3 was estimated. Typically, OH and HO2 + RO2 both showed large day-to-day variability. Box model simulations suggest that most of this variability was a direct result of elevated and highly variable levels of nitric oxide. Comparisons of OH with overhead O-3 Column density measurements revealed that for certain time periods as much as a 30% enhancement occurred in OH as a result of decreases in column O-3 levels. Like ISCAT 1998, the observational data for H2SO4 and MSA generally showed very low concentrations with mean values of 2.7 x 10(5) and 8 X 10(4) Molecule CM-3, respectively. When compared against measured levels of particulate sulfate and methane sulfonate, these low gas phase concentrations indicate, as suggested by the more limited data from the ISCAT 1998 study, that local production of gas phase sulfur species contributes little to particle composition. (C) 2004 Elsevier Ltd. All rights reserved.</t>
  </si>
  <si>
    <t>Natl Ctr Atmospher Res, Div Atmospher Chem, Boulder, CO 80307 USA; Georgia Inst Technol, Dept Earth &amp; Atmospher Sci, Atlanta, GA USA</t>
  </si>
  <si>
    <t>National Center Atmospheric Research (NCAR) - USA; University System of Georgia; Georgia Institute of Technology</t>
  </si>
  <si>
    <t>Natl Ctr Atmospher Res, Div Atmospher Chem, Boulder, CO 80307 USA.</t>
  </si>
  <si>
    <t>mauldin@acd.ucar.edu</t>
  </si>
  <si>
    <t>Lefer, Barry/X-9091-2019; Lefer, Barry L/B-5417-2012</t>
  </si>
  <si>
    <t>Lefer, Barry/0000-0001-9520-5495; Lefer, Barry L/0000-0001-9520-5495</t>
  </si>
  <si>
    <t>10.1016/j.atmosenv.2004.06.031</t>
  </si>
  <si>
    <t>WOS:000224283400006</t>
  </si>
  <si>
    <t>Chen, G; Davis, D; Crawford, J; Hutterli, LM; Huey, LG; Slusher, D; Mauldin, L; Eisele, F; Tanner, D; Dibb, J; Buhr, M; McConnell, J; Lefer, B; Shetter, R; Blake, D; Song, CH; Lombardi, K; Arnoldy, J</t>
  </si>
  <si>
    <t>A reassessment of HOx South Pole chemistry based on observations recorded during ISCAT 2000</t>
  </si>
  <si>
    <t>Antarctica; South Pole; photochemistry; HOx; snow emissions; ISCAT</t>
  </si>
  <si>
    <t>PEM-TROPICS-B; TO-FIRN TRANSFER; PHOTOCHEMICAL PRODUCTION; ARCTIC TROPOSPHERE; BOUNDARY-LAYER; OH; MODEL; SNOW; ATMOSPHERE; PACIFIC</t>
  </si>
  <si>
    <t>Reported here are modeling results based on ISCAT (Investigation of Sulfur Chemistry of Antarctic Troposphere) 2000 observations recorded at the South Pole (SP) during the Austral Summer of 2000. The observations included a comprehensive set of photochemical parameters, e.g., NO, O-3, and CO. It is worthy to note that not only were OH and HO2 observed, but also HOx precursor species CH2O, H2O2, and HONO were measured. Previous studies have suggested that HONO is the major source of OH/HOx in the Arctic; however, observed HONO levels at SP induced dramatic model overprediction of both HOx and NOx when used to constrain the model calculations. In contrast, model predictions constrained by observed values of CH2O and H2O2 are consistent with the observations of OH and HO2 (i.e., within 20%) for more than half of the data. Significant model overpredictions of OH, however, were seen at the NO levels lower than 50 pptv or higher than 150 pptv. An analysis of HOx budget at the median NO level suggests that snow emissions of H2O2 and CH2O are the single most important primary source of SP HOx, contributing 46% to the total source. Major sinks for HOx are found to be dry deposition of HO2NO2 and HNO3 as well as their reactions with OH. Although ISCAT 2000 led to a major progress in our understanding of SP HOx, chemistry, critical aspects of this chemistry are still in need of further investigation. (C) 2004 Elsevier Ltd. All rights reserved.</t>
  </si>
  <si>
    <t>NASA, Langley Res Ctr, Hampton, VA 23665 USA; Georgia Inst Technol, Sch Earth &amp; Atmospher Sci, Atlanta, GA 30332 USA; Univ Arizona, Dept Hydrol &amp; Water Resources, Tucson, AZ 85721 USA; Natl Ctr Atmospher Res, Div Atmospher Chem, Boulder, CO 80307 USA; Univ New Hampshire, Inst Study Earth Oceans &amp; Space, Climate Change Res Ctr, Durham, NH USA; Desert Res Inst, Div Hydrol Sci, Reno, NV USA; Univ Calif Irvine, Dept Chem, Irvine, CA 92717 USA</t>
  </si>
  <si>
    <t>National Aeronautics &amp; Space Administration (NASA); NASA Langley Research Center; University System of Georgia; Georgia Institute of Technology; University of Arizona; National Center Atmospheric Research (NCAR) - USA; University System Of New Hampshire; University of New Hampshire; Nevada System of Higher Education (NSHE); Desert Research Institute NSHE; University of California System; University of California Irvine</t>
  </si>
  <si>
    <t>Chen, G (corresponding author), NASA, Langley Res Ctr, Hampton, VA 23665 USA.</t>
  </si>
  <si>
    <t>izao.chen-1@nasa.gov</t>
  </si>
  <si>
    <t>Lefer, Barry L/B-5417-2012; Lefer, Barry/X-9091-2019; Crawford, James/L-6632-2013</t>
  </si>
  <si>
    <t>Lefer, Barry L/0000-0001-9520-5495; Lefer, Barry/0000-0001-9520-5495; Crawford, James/0000-0002-6982-0934; Blake, Donald/0000-0002-8283-5014</t>
  </si>
  <si>
    <t>10.1016/j.atmosenv.2003.07.018</t>
  </si>
  <si>
    <t>WOS:000224283400008</t>
  </si>
  <si>
    <t>Swanson, AL; Davis, DD; Arimoto, R; Robert, P; Atlas, EL; Flocke, F; Meinardi, S; Rowland, FS; Blake, DR</t>
  </si>
  <si>
    <t>Organic trace gases of oceanic origin observed at South Pole during ISCAT 2000</t>
  </si>
  <si>
    <t>oceanic emissions; DMS; South Pole; methyl iodide; bromoform; alkyl nitrates; photochemistry</t>
  </si>
  <si>
    <t>SEA-SALT SULFATE; DIMETHYL SULFIDE; AIRCRAFT MEASUREMENTS; SEASONAL-VARIATIONS; BIOGENIC SULFUR; METHYL HALIDES; AIR; CHEMISTRY; SEAWATER; DMS</t>
  </si>
  <si>
    <t>Volatile organic compounds (VOCs) were measured at the South Pole (SP) from late Austral spring to mid-summer 2000 as part of the Investigation of Sulfur Chemistry in the Antarctic Troposphere Program (ISCAT-2000). This paper focuses on VOCs that are directly emitted from the ocean, specifically dimethyl sulfide (DMS), methyl nitrate (CH3ONO2),. methyl iodide (CH3I) and bromoform (CHBr3). A partial seasonal cycle of these gases was also recorded during the year following ISCAT-2000. During he summer, the SP periodically receives relatively fresh marine air containing short-lived oceanic trace gases, such as DMS (iota approximate to 1 day). However, DMS was not detected at the SP until January even though DMS emissions from the Southern Ocean typically start peaking in November and elevated levels of other ocean-derived VOCs, including CH3ONO2 and CHBr3, were observed in mid-November. We speculate that in November and December most of the DMS is oxidized before it reaches the SP: a strong correlation between CH3ONO2 and methane sulfonate (MSA), an oxidation product of DMS, supports this hypothesis. Based on a limited number of samples taken over the course of one year, CH3ONO2 apparently accumulates to a quasi-steady-state level over the SP in winter, most likely due to continuing emissions of the compound coupled with a lower rate of photochemical destruction. Oceanic emissions were concluded to be the dominant source of alkyl nitrates at the SP; this is in sharp contrast to northern high latitudes where total alkyl nitrate mixing ratios are dominated by urban sources. (C) 2004 Elsevier Ltd. All rights reserved.</t>
  </si>
  <si>
    <t>Univ Calif Irvine, Dept Chem, Irvine, CA 92697 USA; Georgia Inst Technol, Sch Earth &amp; Atmospher Sci, Atlanta, GA 30332 USA; New Mexico State Univ, Carlsbad, NM 88220 USA; Natl Ocean &amp; Atmospher Adm, Climate Monitoring &amp; Diagnost Lab, Boulder, CO 80305 USA; Univ Miami, Rosenstiel Sch Marine &amp; Atmospher Sci, Miami, FL 33149 USA; Natl Ctr Atmospher Res, Boulder, CO 80305 USA</t>
  </si>
  <si>
    <t>University of California System; University of California Irvine; University System of Georgia; Georgia Institute of Technology; New Mexico State University; National Oceanic Atmospheric Admin (NOAA) - USA; University of Miami; National Center Atmospheric Research (NCAR) - USA</t>
  </si>
  <si>
    <t>Univ Calif Irvine, Dept Chem, Irvine, CA 92697 USA.</t>
  </si>
  <si>
    <t>drblake@uci.edu</t>
  </si>
  <si>
    <t>Flocke, Frank/AAD-1356-2019; Robert, Philippe S/J-7003-2017; Atlas, Elliot/AAE-4605-2021; Atlas, Elliot/J-8171-2015</t>
  </si>
  <si>
    <t>Flocke, Frank/0000-0002-2661-6394; Atlas, Elliot/0000-0003-3847-5346; Blake, Donald/0000-0002-8283-5014</t>
  </si>
  <si>
    <t>10.1016/j.atmosenv.2004.03.072</t>
  </si>
  <si>
    <t>WOS:000224283400009</t>
  </si>
  <si>
    <t>Arimoto, R; Hogan, A; Grube, P; Davis, D; Webb, J; Schloesslin, C; Sage, S; Raccah, F</t>
  </si>
  <si>
    <t>Major ions and radionuclides in aerosol particles from the South Pole during ISCAT-2000</t>
  </si>
  <si>
    <t>sulfur cycle; major ions; trace elements; radionuclides; aerosols; Antarctica; geochemistry</t>
  </si>
  <si>
    <t>SEA-SALT SULFATE; METHANE SULFONIC-ACID; MARINE BOUNDARY-LAYER; SNOW CHEMISTRY; TEMPORAL VARIATIONS; ANTARCTIC AEROSOLS; TRANSPORT; SURFACE; SULFUR; ICE</t>
  </si>
  <si>
    <t>As part of ISCAT 2000, bulk, high-volume, aerosol samples were collected at the South Pole (SP) nominally over 24-h intervals, and they were analyzed for major ions.. several trace elements, and three naturally occurring radionuclides. The mean concentrations of Na (&lt;17 ng m(-3)), sulfate (98 ng m(-3)), and methanesulfonate (MSA, 4.4 mg m(-3)) all were lower in ISCAT 2000 compared with ISCAT 1998, suggesting weaker marine influences during the latter study. In contrast, the Pb-210 activity (0.20 mBq m(-3)) was more than two-times higher in ISCAT 2000 than in 1998, and nitrate concentrations (150 ng m(-3)) were approximately four-times higher, suggesting stronger continental influences in the second study. These differences between experiments are consistent with an analysis of meteorological transport and exchange. 7 Be activities were generally comparable for ISCAT-1998 and 2000, suggesting that there were, on average. similar upper tropospheric/lower stratospheric influences on surface air during the two experiments: long-term records of Be-7, however, show pronounced annual and lower-frequency cycles. The concentration ratios of MSA to nss-sulfate (R) were similar in the two campaigns, and a regression analysis suggests that a non-biogenic source or sources account for up to similar to30% of the nonsea-salt sulfate. Various possible explanations for the low values of R (= 0.08) relative to other Antarctic sites are discussed, including differences in R due to where the oxidation of DMS takes place (that is, in the marine boundary layer or in the buffer layer/free troposphere), chemical fractionation during transport, and the transport of sulfur compounds from lower latitudes and possibly from Mt. Erebus. (C) 2004 Elsevier Ltd. All rights reserved.</t>
  </si>
  <si>
    <t>New Mexico State Univ, Carlsbad Environm Monitoring &amp; Res Ctr, Carlsbad, NM 88220 USA; Cerfified Consulting Meteorol, Piermont, NH 03779 USA; Lyndon State Coll, Dept Meteorol, Lyndonville, VT 05851 USA; Georgia Inst Technol, Sch Earth &amp; Atmospher Sci, Atlanta, GA 30332 USA; Environm Measurements Lab, Dept Homeland Secur, New York, NY 10014 USA</t>
  </si>
  <si>
    <t>New Mexico State University; Northern Vermont University; University System of Georgia; Georgia Institute of Technology</t>
  </si>
  <si>
    <t>New Mexico State Univ, Carlsbad Environm Monitoring &amp; Res Ctr, 1400 Univ Dr, Carlsbad, NM 88220 USA.</t>
  </si>
  <si>
    <t>arimoto@cemrc.org</t>
  </si>
  <si>
    <t>10.1016/j.atmosenv.2004.01.049</t>
  </si>
  <si>
    <t>WOS:000224283400010</t>
  </si>
  <si>
    <t>Arimoto, R; Schloesslin, C; Davis, D; Hogan, A; Grube, P; Fitzgerald, W; Lamborg, C</t>
  </si>
  <si>
    <t>Lead and mercury in aerosol particles collected over the South Pole during ISCAT-2000</t>
  </si>
  <si>
    <t>trace metals; aerosols; Antarctica; geochemistry; pollution</t>
  </si>
  <si>
    <t>ANTARCTIC SNOW RECORD; ATMOSPHERIC MERCURY; POLLUTION HISTORY; GASEOUS MERCURY; ATLANTIC-OCEAN; HEAVY-METALS; EMISSIONS; ICE; SPRINGTIME; HEMISPHERE</t>
  </si>
  <si>
    <t>As part of the ISCAT-2000 field study, aerosol particle samples were collected over similar to24 hr intervals at the South Pole (SP), and they were analyzed for trace elements and for selected ions important for Antarctic sulfur and nitrogen chemistry. This paper focuses on lead and mercury while a companion paper in this issue presents the results of the aerosol ion studies. The results showed that most trace metals were below their limits of detection. Two that were not were Pb and Hg. Lead was only quantified in 15 of 53 samples, and based on those data, the mean concentration of Pb would be &lt;0.032 ng m(-3). This is substantially lower than the aerosol Pb concentrations reported for the SP in the early to mid-1970s, suggesting that the decrease may be related to controls on pollution emissions; however, contamination of the earlier samples also would explain the difference. The arithmetic mean concentration of filterable Hg was 0.04 ng m(-3); thus approaching levels reported for the Arctic. In contrast to the Arctic, however, filterable Hg at the SP was not associated with low ozone mixing ratios; rather the reactions driving the cycling of Hg at the SP appear to involve HOx radicals, reactive nitrogen, and more than likely other substances through complex and not fully understood pathways. (C) 2004 Elsevier Ltd. All rights reserved.</t>
  </si>
  <si>
    <t>New Mexico State Univ, Carlsbad Environm Monitoring &amp; Res Ctr, Carlsbad, NM 88220 USA; Georgia Inst Technol, Sch Earth &amp; Atmospher Sci, Atlanta, GA 30332 USA; Certified Consulting Meteorol, Piermont, NH 03779 USA; Lyndon State Coll, Dept Meteorol, Lyndonville, VT 05851 USA; Univ Connecticut, Dept Marine Sci, Groton, CT 06340 USA</t>
  </si>
  <si>
    <t>New Mexico State University; University System of Georgia; Georgia Institute of Technology; Northern Vermont University; University of Connecticut</t>
  </si>
  <si>
    <t>10.1016/j.atmosenv.2004.03.073</t>
  </si>
  <si>
    <t>WOS:000224283400011</t>
  </si>
  <si>
    <t>Park, J; Sakurai, H; Vollmers, K; McMurry, PH</t>
  </si>
  <si>
    <t>Aerosol size distributions measured at the South Pole during ISCAT</t>
  </si>
  <si>
    <t>South Pole; aerosol size distributions; atmospheric aerosol; particle growth rate</t>
  </si>
  <si>
    <t>CONDENSATION NUCLEUS COUNTER; ANTARCTIC AEROSOLS; MOBILITY; ATMOSPHERE; PARTICLES; INVERSION; ELEMENTS; PLATEAU; RATES</t>
  </si>
  <si>
    <t>Aerosol physical size distributions were measured at the South Pole during December 1998 and December 2000 as part of the ISCAT program. The size ranges covered by these measurements were 3 to 250 nm in 1998 and 3 nm-2 mum in 2000. Typical background aerosols measured during both periods were similar. Total aerosol number concentrations ranged from 100 to 300 cm(-3) with occasional spikes as high as 10,000 cm(-3). We believe the spikes were due to local emissions. The number mean size of background aerosols ranged from 50 to 70 nm, and total aerosol surface area concentrations were 2.8+0.4 mum(2) cm(-3). Aerosols measured in December 2000 were cleanly separated into low volume and high volume periods. During the low-volume periods, volume concentrations were 0.07 + 0.01 mum(3) cm(-3) with a volume mean diameter of 0.27 + 0.05 mum, and these volume concentrations were mostly within a factor two of values that would be expected based on reconstructed mass from particulate chemical composition. Volume concentrations during the high volume periods exceed levels that can be explained from aerosol chemistry and calculated light-scattering coefficients exceed values that have been recorded historically. We have been unable to identify why this might have occurred. We observed one 4-h event on December 15, 2000 during which nanoparticles grew slowly from -3.0 to 3.6 nm. We believe these particles had recently been formed by nucleation. Because this occurred during a period of stagnation, it is possible that this event was associated with local emissions. (C) 2004 Published by Elsevier Ltd.</t>
  </si>
  <si>
    <t>Univ Minnesota, Dept Mech Engn, Particle Technol Lab, Minneapolis, MN 55455 USA</t>
  </si>
  <si>
    <t>University of Minnesota System; University of Minnesota Twin Cities</t>
  </si>
  <si>
    <t>Univ Minnesota, Dept Mech Engn, Particle Technol Lab, 111 Church St SE, Minneapolis, MN 55455 USA.</t>
  </si>
  <si>
    <t>McMurry@me.umn.edu</t>
  </si>
  <si>
    <t>Sakurai, Hiromu/I-4566-2018; McMurry, Peter H/A-8245-2008</t>
  </si>
  <si>
    <t>10.1016/j.atmosenv.2002.12.001</t>
  </si>
  <si>
    <t>WOS:000224283400012</t>
  </si>
  <si>
    <t>Heaton, THE; Wynn, P; Tye, AM</t>
  </si>
  <si>
    <t>Low 15N/14N ratios for nitrate in snow in the High Arctic (79°N)</t>
  </si>
  <si>
    <t>nitrogen isotopes; oxygen isotopes; stratosphere; troposphere; polar</t>
  </si>
  <si>
    <t>ISOTOPIC COMPOSITION; NITROUS-OXIDE; ICE CORE; ATMOSPHERIC DEPOSITION; LOWER STRATOSPHERE; N-15 ABUNDANCE; CHEMISTRY; ALPINE; RECORD; SULFUR</t>
  </si>
  <si>
    <t>We report on the N-15/N-14 and O-18/O-16 ratio analysis of nitrate in accumalated winter snowpack and fresh spring snow collected near Ny Alesund, Svalbard (79degreesN), in the early summers of 2001-2003. The presence of contaminant organic matter in the silver nitrate prepared for analysis must be carefully monitored to assess its effects on delta(15)N, and particularly delta(18)O results. delta(15)N values ranged -18parts per thousand to -7parts per thousand (versus air N-2) and delta(18)O values + 60 to + 85parts per thousand (versus VSMOW). The delta(18)O values are in the reported range for atmospheric nitrate in other parts of the globe, and will tend to reflect the relationship between NOy oxygen and H2O + O-2 in the troposphere immediately prior to nitrate deposition. delta(15)N values, however, are lower than those for atmospheric nitrate over most parts of the globe, but show similarities to N-15/N-14 ratios reported for atmospheric nitrate in the Antarctic. We discuss mechanisms for producing N-15-depleted nitrate in the troposphere, or the possibility that it reflects NOy nitrogen derived from the stratosphere. Crown Copyright (C) 2004 Published by Elsevier Ltd. All rights reserved.</t>
  </si>
  <si>
    <t>NERC, Isotope Geosci Lab, Keyworth NG12 5GG, Notts, England; Univ Sheffield, Dept Geog, Sheffield S10 2TN, S Yorkshire, England; Univ Nottingham, Sch Life &amp; Environm Sci, Nottingham NG7 2RD, England; British Geol Survey, Keyworth NG12 5GG, Notts, England</t>
  </si>
  <si>
    <t>UK Research &amp; Innovation (UKRI); Natural Environment Research Council (NERC); NERC British Geological Survey; University of Sheffield; University of Nottingham; UK Research &amp; Innovation (UKRI); Natural Environment Research Council (NERC); NERC British Geological Survey</t>
  </si>
  <si>
    <t>Heaton, THE (corresponding author), NERC, Isotope Geosci Lab, Keyworth NG12 5GG, Notts, England.</t>
  </si>
  <si>
    <t>theh@bgs.ac.uk</t>
  </si>
  <si>
    <t>Heaton, Timothy HE/E-7626-2010</t>
  </si>
  <si>
    <t>Wynn, Peter Michael/0000-0002-1221-5530</t>
  </si>
  <si>
    <t>10.1016/j.atmosenv.2004.06.028</t>
  </si>
  <si>
    <t>864TX</t>
  </si>
  <si>
    <t>WOS:000224656900010</t>
  </si>
  <si>
    <t>Catry, P; Phillips, RA; Croxall, JP</t>
  </si>
  <si>
    <t>Sustained fast travel by a gray-headed albatross (Thalassarche chrysostoma) riding an Antarctic storm</t>
  </si>
  <si>
    <t>AUK</t>
  </si>
  <si>
    <t>SEABIRDS; FLIGHT; BEHAVIOR; TRACKING; SYSTEMS; SPEEDS; WIND</t>
  </si>
  <si>
    <t>A Gray-headed Albatross (Thalassarche chrysostoma) was recorded traveling, in the course of a foraging trip, at a minimum average ground speed of &gt;110 km h(-1) for similar to9 h with virtually no rest. After taking into account the sinuosity of albatross flight, actual mean ground speed was predicted to be greater than or equal to127 km h(-1), achieved in association with high tailwinds during an Antarctic storm. Despite its high speed and the storminess of the sea, the albatross still managed to successfully locate and capture prey at a rate comparable to that achieved under less extreme conditions. This individual's performance suggests that albatrosses have the capacity to maintain positive energy budgets while quickly covering long distances and taking advantage of the strong winds that are frequent in the Southern Ocean. Received 3 November 2003, accepted 13 May 2004.</t>
  </si>
  <si>
    <t>Catry, P (corresponding author), Inst Super Psicol, Unidad Invest Eco Etol, Rua Jardim Tabaco 44, P-1149041 Lisbon, Portugal.</t>
  </si>
  <si>
    <t>paulo.catry@netc.pt</t>
  </si>
  <si>
    <t>Catry, Paulo/I-5408-2013</t>
  </si>
  <si>
    <t>Catry, Paulo/0000-0003-3000-0522</t>
  </si>
  <si>
    <t>AMER ORNITHOLOGISTS UNION</t>
  </si>
  <si>
    <t>ORNITHOLOGICAL SOC NORTH AMER PO BOX 1897, LAWRENCE, KS 66044-8897 USA</t>
  </si>
  <si>
    <t>0004-8038</t>
  </si>
  <si>
    <t>10.1642/0004-8038(2004)121[1208:SFTBAG]2.0.CO;2</t>
  </si>
  <si>
    <t>866EL</t>
  </si>
  <si>
    <t>WOS:000224756500019</t>
  </si>
  <si>
    <t>Otway, NM; Bradshaw, CJA; Harcourt, RG</t>
  </si>
  <si>
    <t>Estimating the rate of quasi-extinction of the Australian grey nurse shark (Carcharias taurus) population using deterministic age- and stage-classified models</t>
  </si>
  <si>
    <t>BIOLOGICAL CONSERVATION</t>
  </si>
  <si>
    <t>grey nurse shark; Carcharias taurus; Leslie matrix models; survival; endangered; South-eastern Australia; elasticities; fisheries-related mortality</t>
  </si>
  <si>
    <t>NEW-SOUTH-WALES; SAND TIGER SHARK; CARCHARHINUS-PLUMBEUS; DEMOGRAPHIC-ANALYSIS; CONSERVATION; EASTERN; CAUGHT; FISHERIES; GROWTH; AREAS</t>
  </si>
  <si>
    <t>Grey nurse sharks off the east coast of Australia are listed nationally as critically endangered under Schedule 1 of the Environmental Protection and Biodiversity Conservation Act (1999) and may number no more than 300 in New South Wales and southern Queensland waters. They are an inshore, coastal dwelling species and were severely depleted by spearfishing in the 1960s. The population has continued to decline despite protection since 1984. Their life history (long-lived to 25+ years), late maturation (6-8 years), low fecundity (maximum 2 live young biennially), specific habitat requirements, limited inshore distribution, and small population size render them particularly vulnerable to extinction. We estimated the time to quasi-extinction (years elapsed for the population to consist of less than or equal to50 females) for the grey nurse shark population off the east coast of Australia based on current estimates of abundance and known anthropogenic rates of mortality. Estimated minimum population size was 300 as of 2002, and minimum anthropogenic mortality assessed from recovered carcasses was 12/year of which 75% were females. We modelled time to quasi-extinction using deterministic age- and stage-classified models for worst-, likely and best-case scenarios. Population size was estimated at 300 (worst), 1000 (likely) and 3000 (best). Anthropogenic mortality was added to the model assuming either all carcasses are being recovered (best), or conservatively, that only 50% are reported (realistic). Depending on model structure, if all carcasses are being reported, quasi-extinction times for worst-, likely and best-case scenarios range from 13 to 16 years, 84-98 years and 289324 years, respectively. If under-reporting is occurring, time to quasi-extinction ranges from 6 to 8 years, 45-53 years and 173-200 years, respectively. In all scenarios modelled the grey nurse shark population will decline if no further steps are taken to remove anthropogenic sources of mortality. Because estimates of quasi-extinction rate depend on initial population size, and sensitivity analysis revealed that population rate of change was most sensitive to changes in the survival probability of the smallest length classes, obtaining precise estimates of abundance and annual survival of young females is critical. (C) 2004 Elsevier Ltd. All rights reserved.</t>
  </si>
  <si>
    <t>Univ Tasmania, Sch Zool, Antarctic Wildlife Res Unit, Hobart, Tas 7001, Australia; Port Stephens Fisheries Ctr, New S Wales Fisheries, Nelson Bay, NSW, Australia; Macquarie Univ, Grad Sch Environm, Marine Mammal Res Grp, N Ryde, NSW 2109, Australia</t>
  </si>
  <si>
    <t>University of Tasmania; NSW Department of Primary Industries; Macquarie University</t>
  </si>
  <si>
    <t>Univ Tasmania, Sch Zool, Antarctic Wildlife Res Unit, Private Bag 05, Hobart, Tas 7001, Australia.</t>
  </si>
  <si>
    <t>corey.bradshaw@utas.edu.au</t>
  </si>
  <si>
    <t>Bradshaw, Corey J. A./A-1311-2008</t>
  </si>
  <si>
    <t>Bradshaw, Corey J. A./0000-0002-5328-7741; Harcourt, Robert/0000-0003-4666-2934</t>
  </si>
  <si>
    <t>0006-3207</t>
  </si>
  <si>
    <t>1873-2917</t>
  </si>
  <si>
    <t>BIOL CONSERV</t>
  </si>
  <si>
    <t>Biol. Conserv.</t>
  </si>
  <si>
    <t>10.1016/j.biocon.2003.11.017</t>
  </si>
  <si>
    <t>838SN</t>
  </si>
  <si>
    <t>WOS:000222733600006</t>
  </si>
  <si>
    <t>Kang, JC; Liu, LB; Qin, DH; Wang, DL; Wen, JH; Tan, DJ; Li, ZQ; Li, J; Zhang, XW</t>
  </si>
  <si>
    <t>Geochemical characteristics and zones of surface snow on east Antarctic Ice Sheet</t>
  </si>
  <si>
    <t>CHINESE SCIENCE BULLETIN</t>
  </si>
  <si>
    <t>Antarctic Ice Sheet; snow; geochemical zones</t>
  </si>
  <si>
    <t>DEUTERIUM EXCESS; DOME-C; DUST; PRECIPITATION; DELTA-O-18; ORIGIN; CORE; LAND</t>
  </si>
  <si>
    <t>The surface-snow geochemical characteristics are discussed on the East Antarctic Ice Sheet, depending on the stable isotopes ratios of oxygen and hydrogen, concentration of impurities (soluble-ions and insoluble micro-particle) in surface snow collected on the ice sheet. The purpose is to study geochemical zones on the East Antarctic Ice Sheet and to research sources and transportation route of the water vapor and the impurities in surface snow. It has been found that the ratio coefficients, as S-1, d(1) in the equation deltaD = S(1)delta(18)O + d(1), are changed near the elevation 2000 m on the ice sheet. The weight ratio of Cl-/Na+ at the area below the elevation of 2000 m is close to the ratio in the sea salt; but it is about 2 times that of the sea salt, at the inland area up to the elevation of 2000 m. The concentrations of non-sea-salt Ca2+ ion (nssCa(2+)) and fine-particle increase at the interior up to the elevation 2000 m. At the region below the elevation of 2000 m, the impurity concentration is decreasing with the elevation increasing. Near coastal region, the surface snow has a high concentration of impurity, where the elevation is below 800 m. Combining the translating processes of water-vapor and impurities, it suggests that the region up to the elevation 2000 m is affected by large-scale circulation with longitude-direction, and that water-vapor and impurities in surface snow come from long sources. The region below the elevation 2000 m is affected by some strong cyclones acting at peripheral region of the ice sheet, and the sources of water and impurities could be at high latitude sea and coast. The area below elevation 800 m is affected by local coastal cyclones.</t>
  </si>
  <si>
    <t>Polar Res Inst China, Shanghai 200129, Peoples R China; Lanzhou Univ, Dept Geog, Lanzhou 730000, Peoples R China; Chinese Acad Sci, Cold &amp; Arid Reg Environm &amp; Engn Res Inst, Lanzhou 730000, Peoples R China; CRC, Australian Antarctic Div, Hobart, Tas 7001, Australia; CRC, Antarctic Climate &amp; Ecosyst, Hobart, Tas 7001, Australia</t>
  </si>
  <si>
    <t>Polar Research Institute of China; Lanzhou University; Chinese Academy of Sciences; Cold &amp; Arid Regions Environmental &amp; Engineering Research Institute, CAS; Australian Antarctic Division</t>
  </si>
  <si>
    <t>Kang, JC (corresponding author), Polar Res Inst China, Shanghai 200129, Peoples R China.</t>
  </si>
  <si>
    <t>kangjc@sh163.net</t>
  </si>
  <si>
    <t>Wang, Dong/R-9624-2018</t>
  </si>
  <si>
    <t>SCIENCE CHINA PRESS</t>
  </si>
  <si>
    <t>BEIJING</t>
  </si>
  <si>
    <t>16 DONGHUANGCHENGGEN NORTH ST, BEIJING 100717, PEOPLES R CHINA</t>
  </si>
  <si>
    <t>1001-6538</t>
  </si>
  <si>
    <t>CHINESE SCI BULL</t>
  </si>
  <si>
    <t>Chin. Sci. Bull.</t>
  </si>
  <si>
    <t>10.1360/03wd0355</t>
  </si>
  <si>
    <t>886ZE</t>
  </si>
  <si>
    <t>WOS:000226271000016</t>
  </si>
  <si>
    <t>Divine, DV; Korsnes, R; Makshtas, AP</t>
  </si>
  <si>
    <t>Temporal and spatial variation of shore-fast ice in the Kara Sea</t>
  </si>
  <si>
    <t>CONTINENTAL SHELF RESEARCH</t>
  </si>
  <si>
    <t>fast ice; ice breakup; atmospheric forcing; Kara Sea; SSM/1</t>
  </si>
  <si>
    <t>CLIMATE SENSITIVITY; LAPTEV SEA; VARIABILITY; TRANSPORT; POLLUTANTS; POLYNYAS; MODEL</t>
  </si>
  <si>
    <t>The present study of temporal and spatial variations of shore-fast ice in the Kara Sea includes utilization of aircraft observations by the Arctic and Antarctic Research Institute (AARI) from 1953 to 1990, and surface brightness temperature from SSM/I from 1987 to 2001. Analyses of a time series of spatially distributed SSM/I brightness temperatures provide estimates of the shore-fast ice extent. The present work shows spatial distributions of frequencies of shore-fast ice coverage in the Kara Sea for each month, and it gives a time series of its area. The fast ice extent in early spring typically reaches a stable configuration, which falls into one of two different categories (modes) with significantly different area. The smaller of these two modes tends to appear with increased frequency since 1980. This gives, for this period, a negative trend in fast ice area during spring. There is a correlation above 0.5 between the average winter temperature and maximum ice thickness anomalies and fast ice area. Analysis of surface wind data and sea level pressure indicates that wind during winter controls much of the shore-fast ice development. Specially strong westerly and southwesterly winds tend to give a smaller fast ice extent than otherwise. Variations in river discharge tend only to have an observable effect on the ice at the river mouths. (C) 2004 Elsevier Ltd. All rights reserved.</t>
  </si>
  <si>
    <t>Norwegian Polar Res Inst, Polar Environm Ctr, N-9296 Tromso, Norway; Norwegian Def Res Estab, Div Elect, NO-2027 Kjeller, Norway; Univ Alaska Fairbanks, Int Arctic Res Ctr, Fairbanks, AK 99775 USA</t>
  </si>
  <si>
    <t>Norwegian Polar Institute; Norwegian Defence Research Establishment; University of Alaska System; University of Alaska Fairbanks</t>
  </si>
  <si>
    <t>Norwegian Polar Res Inst, Polar Environm Ctr, N-9296 Tromso, Norway.</t>
  </si>
  <si>
    <t>Dmitry.Divine@npolar.no</t>
  </si>
  <si>
    <t>Divine, Dmitry/0000-0003-0548-6698</t>
  </si>
  <si>
    <t>0278-4343</t>
  </si>
  <si>
    <t>1873-6955</t>
  </si>
  <si>
    <t>CONT SHELF RES</t>
  </si>
  <si>
    <t>Cont. Shelf Res.</t>
  </si>
  <si>
    <t>10.1016/j.csr.2004.05.010</t>
  </si>
  <si>
    <t>860SU</t>
  </si>
  <si>
    <t>WOS:000224364300009</t>
  </si>
  <si>
    <t>Ovstedal, DO; Smith, RIL</t>
  </si>
  <si>
    <t>Additions and corrections to the Lichens of Antarctica and South Georgia</t>
  </si>
  <si>
    <t>CRYPTOGAMIE MYCOLOGIE</t>
  </si>
  <si>
    <t>The taxonomic listing given in Lichens of Antarctica and South Georgia (Ovstedal &amp; Lewis Smith 2001) has been updated. 17 additional taxa of lichenised fungi are described, including several nomenclatural changes. 14 of these are considered as new records for the Antarctic and one is new to South Georgia. One is described as new to science.</t>
  </si>
  <si>
    <t>Univ Bergen, Dept Bot, N-5007 Bergen, Norway; British Antarctic Survey, Cambridge CB3 0ET, England</t>
  </si>
  <si>
    <t>University of Bergen; UK Research &amp; Innovation (UKRI); Natural Environment Research Council (NERC); NERC British Antarctic Survey</t>
  </si>
  <si>
    <t>Ovstedal, DO (corresponding author), Univ Bergen, Dept Bot, Alegaten 41, N-5007 Bergen, Norway.</t>
  </si>
  <si>
    <t>ADAC-CRYPTOGAMIE</t>
  </si>
  <si>
    <t>PARIS</t>
  </si>
  <si>
    <t>12 RUE DE BUFFON, 75005 PARIS, FRANCE</t>
  </si>
  <si>
    <t>0181-1584</t>
  </si>
  <si>
    <t>CRYPTOGAMIE MYCOL</t>
  </si>
  <si>
    <t>Cryptogam. Mycol.</t>
  </si>
  <si>
    <t>OCT-DEC</t>
  </si>
  <si>
    <t>Mycology</t>
  </si>
  <si>
    <t>894ZN</t>
  </si>
  <si>
    <t>WOS:000226830200002</t>
  </si>
  <si>
    <t>Stafford, KM; Bohnenstiehl, DR; Tolstoy, M; Chapp, E; Mellinger, DK; Moore, SE</t>
  </si>
  <si>
    <t>Antarctic-type blue whale calls recorded at low latitudes in the Indian and eastern Pacific Oceans</t>
  </si>
  <si>
    <t>blue whale; Balaenoptera musculus intermedia; bioacoustics; vocalization behavior; Antarctic; Indian Ocean; eastern tropical Pacific</t>
  </si>
  <si>
    <t>SEA-ICE EXTENT; BALAENOPTERA-MUSCULUS; TROPICAL PACIFIC; RELATIVE ABUNDANCE; UNDERWATER SOUNDS; POPULATIONS; CALIFORNIA</t>
  </si>
  <si>
    <t>Blue whales, Balaenoptera musculus, were once abundant around the Antarctic during the austral summer, but intensive whaling during the first half of the 20th century reduced their numbers by over 99%. Although interannual variability of blue whale occurrence on the Antarctic feeding grounds was documented by whalers, little was known about where the whales spent the winter months. Antarctic blue whales produce calls that are distinct from those produced by blue whales elsewhere in the world. To investigate potential winter migratory destinations of Antarctic blue whales, we examined acoustic data for these signals from two low-latitude locales: the eastern tropical Pacific Ocean and the Indian Ocean. Antarctic-type blue whale calls were detected on hydrophones in both regions during the austral autumn and winter (May-September), with peak detections in July. Calls occurred over relatively brief periods in both oceans, suggesting that there may be only a few animals migrating so far north and/or producing calls. Antarctic blue whales appear to use both the Indian and eastern Pacific Oceans concurrently, indicating that there is not a single migratory destination. Acoustic data from the South Atlantic and from mid-latitudes in the Indian or Pacific Oceans are needed for a more global understanding of migratory patterns and destinations of Antarctic blue whales. (C) 2004 Elsevier Ltd. All rights reserved.</t>
  </si>
  <si>
    <t>Natl Marine Mammal Lab, Seattle, WA 98115 USA; Columbia Univ, Lamont Doherty Earth Observ, Palisades, NY 10964 USA; Oregon State Univ, NOAA, Cooperat Inst Marine Resources Studies, Newport, OR 97365 USA</t>
  </si>
  <si>
    <t>National Oceanic Atmospheric Admin (NOAA) - USA; Columbia University; Oregon State University; National Oceanic Atmospheric Admin (NOAA) - USA</t>
  </si>
  <si>
    <t>Stafford, KM (corresponding author), Natl Marine Mammal Lab, 7600 Sand Point Way NE F-AKC4, Seattle, WA 98115 USA.</t>
  </si>
  <si>
    <t>Moore, Sue E/M-2103-2018</t>
  </si>
  <si>
    <t>Stafford, Kathleen Mary/0000-0003-0039-5025</t>
  </si>
  <si>
    <t>10.1016/j.dsr.2004.05.007</t>
  </si>
  <si>
    <t>855CC</t>
  </si>
  <si>
    <t>WOS:000223949500004</t>
  </si>
  <si>
    <t>Peck, LS; Webb, KE; Bailey, DM</t>
  </si>
  <si>
    <t>Extreme sensitivity of biological function to temperature in Antarctic marine species</t>
  </si>
  <si>
    <t>FUNCTIONAL ECOLOGY</t>
  </si>
  <si>
    <t>aerobic scope; Antarctic; bivalve; burrowing; climate change; ecological limit; extinction; mollusc; swimming; temperature</t>
  </si>
  <si>
    <t>THERMAL TOLERANCE; METABOLISM; PERFORMANCE; CAPACITIES; GROWTH</t>
  </si>
  <si>
    <t>1. Biological capacities to respond to changing environments dictate success or failure of populations and species over time. The major environmental feature in this context is often temperature, and organisms across the planet vary widely in their capacity to cope with temperature variation. With very few exceptions, Antarctic marine species are more sensitive to temperature variation than marine groups elsewhere, having survivable temperature envelopes between 5degreesC and 12degreesC above the minimum sea temperature of -2degreesC. 2. Our findings show that in biological functions important to long-term survival these animals are even more tightly constrained. The Antarctic bivalve mollusc Laternula elliptica and limpet Nacella concinna both survive a few days in experiments at 9-10degreesC, but suffer 50% failure in essential biological activities at 2-3degreesC and complete loss at 5degreesC. The Antarctic scallop Adamussium colbecki is even more sensitive, and loses the ability to swim as temperature approaches 2degreesC. 3. These failures of activity are caused by a loss of aerobic capacity, and the animals investigated are so sensitive that a 2degreesC rise in sea temperature could cause population or species removal from the Southern Ocean.</t>
  </si>
  <si>
    <t>British Antarctic Survey, NERC, Cambridge CB3 0ET, England; Univ Aberdeen, Oceanlab, Newburgh AB41 6AA, Aberdeen, Scotland</t>
  </si>
  <si>
    <t>UK Research &amp; Innovation (UKRI); Natural Environment Research Council (NERC); NERC British Antarctic Survey; University of Aberdeen</t>
  </si>
  <si>
    <t>l.peck@bas.ac.uk</t>
  </si>
  <si>
    <t>Webb, Karen/A-5977-2010; Bailey, David/A-6240-2008</t>
  </si>
  <si>
    <t>Bailey, David/0000-0002-0824-8823</t>
  </si>
  <si>
    <t>0269-8463</t>
  </si>
  <si>
    <t>1365-2435</t>
  </si>
  <si>
    <t>FUNCT ECOL</t>
  </si>
  <si>
    <t>Funct. Ecol.</t>
  </si>
  <si>
    <t>10.1111/j.0269-8463.2004.00903.x</t>
  </si>
  <si>
    <t>855UR</t>
  </si>
  <si>
    <t>WOS:000224000900001</t>
  </si>
  <si>
    <t>Van De Flierdt, T; Frank, M; Lee, DC; Halliday, AN; Reynolds, BC; Hein, JR</t>
  </si>
  <si>
    <t>New constraints on the sources and behavior of neodymium and hafnium in seawater from Pacific Ocean ferromanganese crusts</t>
  </si>
  <si>
    <t>RARE-EARTH-ELEMENTS; SR ISOTOPIC SYSTEMATICS; EASTERN INDIAN-OCEAN; NORTH PACIFIC; EOLIAN DEPOSITION; DISSOLVED ZIRCONIUM; RESIDENCE TIME; SOUTHERN-OCEAN; WATER MASSES; PB ISOTOPES</t>
  </si>
  <si>
    <t>The behavior of dissolved Hf in the marine environment is not well understood due to the lack of direct seawater measurements of Hf isotopes and the limited number of Hf isotope time-series obtained from ferromanganese crusts. In order to place better constraints on input sources and develop further applications, a combined Nd-Hf isotope time-series study of five Pacific ferromanganese crusts was carried out. The samples cover the past 38 Myr and their locations range from sites at the margin of the ocean to remote areas, sites from previously unstudied North and South Pacific areas, and water depths corresponding to deep and bottom waters. For most of the samples a broad coupling of Nd and Hf isotopes is observed. In the Equatorial Pacific epsilon(Nd) and epsilon(Hf), both decrease with water depth. Similarly, epsilon(Nd), and epsilon(Hf) both increase from the South to the North Pacific. These data indicate that the Hf isotopic composition is, in general terms, a suitable tracer for ocean circulation, since inflow and progressive admixture of bottom water is clearly identifiable. The time-series data indicate that inputs and outputs have been balanced throughout much of the late Cenozoic. A simple box model can constrain the relative importance of potential input sources to the North Pacific. Assuming steady state, the model implies significant contributions of radiogenic Nd and Hf from young circum-Pacific arcs and a subordinate role of dust inputs from the Asian continent for the dissolved Nd and Hf budget of the North Pacific. Some changes in ocean circulation that are clearly recognizable in Nd isotopes do not appear to be reflected by Hf isotopic compositions. At two locations within the Pacific Ocean a decoupling of Nd and Hf isotopes is found, indicating limited potential for Hf isotopes as a stand-alone oceanographic tracer and providing evidence of additional local processes that govern the Hf isotopic composition of deep water masses. In the case of the Southwest Pacific there is evidence that decoupling may have been the result of changes in weathering style related to the buildup of Antarctic glaciation. Copyright (C) 2004 Elsevier Ltd.</t>
  </si>
  <si>
    <t>Columbia Univ, Lamont Doherty Earth Observ, Palisades, NY 10964 USA; ETH, Inst Isotope Geol &amp; Mineral Resources, CH-8092 Zurich, Switzerland; Acad Sinica, Inst Earth Sci, Taipei 115, Taiwan; US Geol Survey, Menlo Pk, CA 94025 USA</t>
  </si>
  <si>
    <t>Columbia University; Swiss Federal Institutes of Technology Domain; ETH Zurich; Academia Sinica - Taiwan; United States Department of the Interior; United States Geological Survey</t>
  </si>
  <si>
    <t>Columbia Univ, Lamont Doherty Earth Observ, 61 Route 9W, Palisades, NY 10964 USA.</t>
  </si>
  <si>
    <t>tina@ldeo.columbia.edu</t>
  </si>
  <si>
    <t>Hein, James/R-7123-2019; Halliday, Alexander/JHT-5272-2023; Lee, Der-Chuen/N-9225-2013</t>
  </si>
  <si>
    <t>Halliday, Alexander/0000-0002-3797-6918; Frank, Martin/0000-0002-8606-4421</t>
  </si>
  <si>
    <t>858NK</t>
  </si>
  <si>
    <t>WOS:000224198400002</t>
  </si>
  <si>
    <t>Stuut, JBW; Crosta, X; van der Borg, K; Schneider, R</t>
  </si>
  <si>
    <t>Relationship between Antarctic sea ice and southwest African climate during the late Quaternary</t>
  </si>
  <si>
    <t>late Quaternary; aridity; trade wind strength; grain size; dust; end-member modeling; sea ice; diatoms</t>
  </si>
  <si>
    <t>LAST GLACIAL MAXIMUM; SOUTHERN-OCEAN; ATLANTIC SECTOR; AGE CALIBRATION; RECORD; HEMISPHERE; WESTERLIES; SEDIMENTS; ARIDITY; CYCLES</t>
  </si>
  <si>
    <t>Here we compare late Quaternary southwest African climate records from the west coast of southern Africa (published winter rainfall and trade wind intensity records from a core off the coast of Namibia) to records of Antarctic sea-ice extent. This comparison reveals coherent changes between Antarctic sea-ice extent and the southwest African winter rain region since 45 k.y. B.P., with enhanced winter rainfall and trade-wind vigor during periods of increased sea-ice presence. We propose an oceanic and atmospheric coupling between Antarctic sea ice and the winter rainfall zone of southwest Africa that may lead to increased desertification in the region if global warming persists.</t>
  </si>
  <si>
    <t>Univ Bremen, RCOM, D-28359 Bremen, Germany; Univ Bordeaux 1, EPOC, CNRS, UMR 5805,Dept Geol &amp; Oceanog, F-33405 Talence, France; Univ Utrecht, RJ Van de Graaff Lab, NL-3584 CD Utrecht, Netherlands</t>
  </si>
  <si>
    <t>University of Bremen; Universite de Bordeaux; Centre National de la Recherche Scientifique (CNRS); CNRS - National Institute for Earth Sciences &amp; Astronomy (INSU); Utrecht University</t>
  </si>
  <si>
    <t>Stuut, JBW (corresponding author), Univ Bremen, RCOM, Klagenfurterstr, D-28359 Bremen, Germany.</t>
  </si>
  <si>
    <t>Stuut, Jan-Berend/K-2073-2013; van der Borg, Klaas/K-1990-2019</t>
  </si>
  <si>
    <t>Stuut, Jan-Berend/0000-0002-5348-2512; van der Borg, Klaas/0000-0002-5999-2804; Schneider, Ralph/0000-0003-1453-9181</t>
  </si>
  <si>
    <t>10.1130/G20709.1</t>
  </si>
  <si>
    <t>861LD</t>
  </si>
  <si>
    <t>WOS:000224417100021</t>
  </si>
  <si>
    <t>Buick, DP; Ivany, LC</t>
  </si>
  <si>
    <t>100 years in the dark: Extreme longevity of Eocene bivalves from Antarctica</t>
  </si>
  <si>
    <t>bivalve; stable isotope; longevity; life history; Antarctic; climate</t>
  </si>
  <si>
    <t>STABLE-ISOTOPE PROFILES; ARCTICA-ISLANDICA MOLLUSCA; CALORIC RESTRICTION; GROWTH; SEA; TEMPERATURE; SEASONALITY; SHELLS; OXYGEN; CLAM</t>
  </si>
  <si>
    <t>A combination of sclerochronologic techniques and stable isotope analysis reveals that the fossil bivalve Cucullaea raea, from the Eocene of Antarctica, regularly lived for more than a century. In addition, shell growth occurred only during the Austral winter, when food (phytoplankton) availability was limited by darkness. Although extreme longevity in modern bivalves tends to correlate with cold temperature, paleotemperature conversion of delta O-18 values indicates that these high-latitude fossil clams lived in relatively warm (similar to 14 degrees C) shallow seas of the Eocene greenhouse world. Growth cessation during otherwise optimal summer conditions is inferred to reflect summer spawning and a reproductive strategy by which to increase the likelihood of larval survival in a light-stressed (and hence food stressed) setting. Long life may therefore be adaptive in a setting where the chances of reproductive success during any one spawning cycle are very low. In addition, food limitation may play a role in extending life by reducing metabolic rate and somatic growth, slowing the process of senescence (aging). The unusual life history of this fossil high latitude, temperate-water bivalve suggests that low light and food availability, as opposed to cold temperature, may have a greater influence on molluscan growth at high latitudes than previously thought.</t>
  </si>
  <si>
    <t>Syracuse Univ, Dept Earth Sci, Syracuse, NY 13244 USA</t>
  </si>
  <si>
    <t>Syracuse University</t>
  </si>
  <si>
    <t>Syracuse Univ, Dept Earth Sci, Syracuse, NY 13244 USA.</t>
  </si>
  <si>
    <t>lcivany@syr.edu</t>
  </si>
  <si>
    <t>10.1130/G20796.1</t>
  </si>
  <si>
    <t>WOS:000224417100024</t>
  </si>
  <si>
    <t>Buckley, BA; Place, SP; Hofmann, GE</t>
  </si>
  <si>
    <t>Regulation of heat shock genes in isolated hepatocytes from an Antarctic fish, Trematomus bernacchii</t>
  </si>
  <si>
    <t>heat shock protein; Hsp70; hepatocyte; constitutive expression; Trematomus bernacchii; Notothemoid; Antarctica</t>
  </si>
  <si>
    <t>INDUCIBLE HSP70 GENE; MOLECULAR CHAPERONES; TRANSCRIPTION FACTORS; STRESS-RESPONSE; MESSENGER-RNA; PROTEASOME INHIBITORS; DIFFERENTIAL DISPLAY; NOTOTHENIOID FISHES; PROTEIN-SYNTHESIS; CADMIUM CHLORIDE</t>
  </si>
  <si>
    <t>The Antarctic fishes, isolated over evolutionary history in the sub-zero waters of the Southern Ocean, are an ideal group for studying the processes of cold adaptation. One species of Antarctic notothenioid fish, Trematomus bernacchii, has lost the ability to induce heat shock proteins (Hsps) in response to exposure to acute thermal stress or to the toxic heavy metal cadmium, an important part of the cellular defense response to such stressors. To elucidate the mechanism responsible for the lack of Hsp induction, we examined several stages of the hsp gene expression pathway, including transcription factor activity, Hsp70 mRNA production and protein synthesis patterns, in hepatocytes from T. bernacchii. Hsp70 mRNA was detected, as was heat shock factor 1 (HSF1) with DNA-binding activity. However, exposure to elevated temperature and to chemical inducers of the heat shock response failed to increase Hsp70 mRNA levels, HSF1 activity or the concentration of any size class of Hsps. These results suggest that Hsps, inducible in nearly every other species, are expressed constitutively in the cold-adapted T. bernacchii.</t>
  </si>
  <si>
    <t>Univ Calif Santa Barbara, Dept Ecol Evolut &amp; Marine Biol, Santa Barbara, CA 93106 USA</t>
  </si>
  <si>
    <t>University of California System; University of California Santa Barbara</t>
  </si>
  <si>
    <t>Univ Calif Santa Barbara, Dept Ecol Evolut &amp; Marine Biol, Santa Barbara, CA 93106 USA.</t>
  </si>
  <si>
    <t>hofmann@lifesci.ucsb.edu</t>
  </si>
  <si>
    <t>10.1242/jeb.01219</t>
  </si>
  <si>
    <t>870XW</t>
  </si>
  <si>
    <t>WOS:000225093200012</t>
  </si>
  <si>
    <t>Pellegrino, D; Palmerini, CA; Tota, B</t>
  </si>
  <si>
    <t>No hemoglobin but NO:: the icefish (Chionodraco hamatus) heart as a paradigm</t>
  </si>
  <si>
    <t>nitric oxide; heart; Antarctic teleost; icefish; Chionodraco hamatus; myocardial performance; nitric oxide synthase (NOS); immunocytochemistry</t>
  </si>
  <si>
    <t>NITRIC-OXIDE SYNTHASE; FISH CHAENOCEPHALUS-ACERATUS; CARDIAC-PERFORMANCE; ANTARCTIC FISHES; ENDOCARDIAL ENDOTHELIUM; MECHANICAL PERFORMANCE; MYOCARDIAL-FUNCTION; ANGUILLA-ANGUILLA; CIRCULATION; EXPRESSION</t>
  </si>
  <si>
    <t>The role of nitric oxide (NO) in cardio-vascular homeostasis is now known to include allosteric redox modulation of cell respiration. An interesting animal for the study of this wide-ranging influence of NO is the cold-adapted Antarctic icefish Chionodraco hamatus, which is characterised by evolutionary loss of hemoglobin and multiple cardio-circulatory and subcellular compensations for efficient oxygen delivery. Using an isolated, perfused working heart preparation of C hamatus, we show that both endogenous (L-arginine) and exogenous (SIN-1 in presence of SOD) NO-donors as well as the guanylate cyclase (GC) donor 8Br-cGMP elicit positive inotropism, while both nitric oxide synthase (NOS) and sGC inhibitors, i.e. L-NIO and ODQ, respectively, induce significant negative inotropic effects. These results therefore demonstrate that under basal working conditions the icefish heart is under the tonic influence of a NO-cGMP-mediated positive inotropism. We also show that the working heart, which has intracardiac NOS (shown by NADPH-diaphorase activity and immunolocalization), can produce and release NO, as measured by nitrite appearance in the cardiac effluent. These results indicate the presence of a functional NOS system in the icefish heart, possibly serving a paracrine/autocrine regulatory role.</t>
  </si>
  <si>
    <t>Univ Calabria, Dept Pharmacobiol, I-87030 Arcavacata di Rende, CS, Italy; Univ Calabria, Dept Cellular Biol, I-87030 Arcavacata di Rende, CS, Italy; Univ Perugia, Dept Cell &amp; Mol Biol, I-06126 Perugia, Italy; Staz Zool Anton Dohrn, I-80121 Naples, Italy</t>
  </si>
  <si>
    <t>University of Calabria; University of Calabria; University of Perugia; Stazione Zoologica Anton Dohrn di Napoli</t>
  </si>
  <si>
    <t>Tota, B (corresponding author), Univ Calabria, Dept Pharmacobiol, I-87030 Arcavacata di Rende, CS, Italy.</t>
  </si>
  <si>
    <t>tota@unical.it</t>
  </si>
  <si>
    <t>Palmerini, Carlo Alberto/0000-0001-9179-7534; Pellegrino, Daniela/0000-0002-9815-5195</t>
  </si>
  <si>
    <t>COMPANY OF BIOLOGISTS LTD</t>
  </si>
  <si>
    <t>BIDDER BUILDING CAMBRIDGE COMMERCIAL PARK COWLEY RD, CAMBRIDGE CB4 4DL, CAMBS, ENGLAND</t>
  </si>
  <si>
    <t>10.1242/jeb.01180</t>
  </si>
  <si>
    <t>878TK</t>
  </si>
  <si>
    <t>WOS:000225669600007</t>
  </si>
  <si>
    <t>Gourley, TL; Gallagher, SJ</t>
  </si>
  <si>
    <t>Foraminiferal biofacies of the Miocene warm to cool climatic transition in the Port Phillip Basin, southeastern Australia</t>
  </si>
  <si>
    <t>JOURNAL OF FORAMINIFERAL RESEARCH</t>
  </si>
  <si>
    <t>PALEOENVIRONMENTAL EVOLUTION; BENTHIC FORAMINIFERA; SOUTHERN AUSTRALIA; INDIAN-OCEAN; OTWAY BASIN; NEOGENE; PALEOCEANOGRAPHY; SUCCESSION; SHELF</t>
  </si>
  <si>
    <t>The Miocene marine sediments of the Torquay Group in the Port Phillip Basin of southeast Australia were deposited at a paleolatitude of at least 45degreesS. Nevertheless, the presence of subtropical larger foraminifers, plankton of the Orbulina bioseries and other biofacies signals testify to a time of global warmth and correspond to the Miocene Climatic Optimum. Throughout the Early Miocene to early Middle Miocene, bioclastic calcarenite of the Batesford Limestone was deposited in warm, subtropical and oligotrophic marine conditions in a high-energy inner-shelf (&lt;70 In depth) environment. During the early Middle Miocene, a distinct change in foraminiferal assemblage accompanied the transition to deposition of finer-grained marl and silty clay of the Fyansford Formation. At this level, a significant increase in the abundance of infaunal and planktonic taxa indicates a shift to a low-energy, middle- to outer-shelf environment (50-100 m depth). The disappearance of the larger subtropical foraminifera and the shift to a foraminiferal assemblage dominated by cool-water upwelling indices later in the Middle Miocene, signal the onset of oceanic upwelling and climatic cooling as identified in other southern Australian Tertiary basins. This event can be correlated to a period of global climatic cooling and intensified oceanic circulation that occurred in response to expansion of the East and West Antarctic ice sheets during the Middle to Late Miocene.</t>
  </si>
  <si>
    <t>Univ Melbourne, Sch Earth Sci, Melbourne, Vic 3010, Australia</t>
  </si>
  <si>
    <t>University of Melbourne; Melbourne Bioinformatics</t>
  </si>
  <si>
    <t>Univ Melbourne, Sch Earth Sci, Melbourne, Vic 3010, Australia.</t>
  </si>
  <si>
    <t>t.gourley@pgrad.unimelb.edu.au; sjgall@unimelb.edu.au</t>
  </si>
  <si>
    <t>Gallagher, Stephen/AFL-9448-2022</t>
  </si>
  <si>
    <t>Gallagher, Stephen/0000-0002-5593-2740</t>
  </si>
  <si>
    <t>0096-1191</t>
  </si>
  <si>
    <t>J FORAMIN RES</t>
  </si>
  <si>
    <t>J. Foraminifer. Res.</t>
  </si>
  <si>
    <t>10.2113/34.4.294</t>
  </si>
  <si>
    <t>Paleontology</t>
  </si>
  <si>
    <t>881MF</t>
  </si>
  <si>
    <t>WOS:000225870900004</t>
  </si>
  <si>
    <t>Fiala, M; Kopczynska, EE; Oriol, L; Machado, MC</t>
  </si>
  <si>
    <t>Phytoplankton variability in the Crozet Basin frontal zone (Southwest Indian Ocean) during austral summer</t>
  </si>
  <si>
    <t>JOURNAL OF MARINE SYSTEMS</t>
  </si>
  <si>
    <t>subtropical front; subantarctic front; biomass; phytoplankton communities; cyanobacteria; postbloom situation</t>
  </si>
  <si>
    <t>FRACTIONATED PRIMARY PRODUCTION; SUBTROPICAL CONVERGENCE REGION; ANTARCTIC CIRCUMPOLAR CURRENT; PRINCE EDWARD ISLANDS; MARGINAL ICE-ZONE; SOUTHERN-OCEAN; MICROBIAL COMMUNITY; KERGUELEN ISLANDS; ATLANTIC SECTOR; WATER MASSES</t>
  </si>
  <si>
    <t>Size-fractionated chlorophyll a (Chl a) biomass and phytoplankton community distributions were investigated along two transects located in the Indian Ocean frontal region between 43-46degreesS and 62-65degreesE during late summer 1999. Chl a distribution was linked to the merged Subantarctic Front (SAF) and the Subtropical Front (STF) which marked the border between the cold and less saline subantarctic waters and the warm and more saline subtropical waters. Chl a concentrations increased from &lt;0.3mug l(-1) in the subantarctic waters to 0.80 mug l(-1) in the subtropical waters. In the northeastern region, a patch of high Chl a concentrations was associated with the meandering of the fronts which were in very close proximity. Pico-sized phytoplankton fractions were always dominant over the survey area contributing 54-71% to the total Chl a standing stock. In the subtropical waters, cyanobacteria were the major components of the pico-size fractions. Synechococcus spp. showed a northward positive gradient from 2-5 x 10(3) cells ml(-1) in the subantarctic waters to 6 x 104 cells ml(-1) in the subtropical waters. Prochlorococcus spp. were only present in the warmer subsurface waters north of the SAF/STF. They reached a maximum of 15.6 x 10(4) cells l(-1) north of the Agulhas Front (AF). Except for the AF where the coccolithophorid Emiliana huxleyi formed 70% of the total carbon stocks, dinoflagellates &lt; 20 mum were the major contributors (50-90%) to the total carbon biomass. They were mainly composed of Gymnodinium/Gyrodinium, Prorocentrum spp. and Oxytoxum laticeps with peaks in the STF and subtropical waters. Nanoflagellates and diatoms formed together 0.2-3.9% of the entire cell carbon biomass. Diatoms (mainly, Pseudonitzschia delicatissima and Pseudonitzschia turgidula) were poorly represented in the entire survey area. The low biomass associated with low nutrient concentrations suggested a postbloom situation with a shift towards nonsiliceous pico-size communities. The low biological activity observed during this cruise was confirmed by the low RNA:DNA ratios. (C) 2004 Elsevier B.V. All rights reserved.</t>
  </si>
  <si>
    <t>Univ Paris 06, CNRS, UMR 7621, Lab Arago, F-66651 Banyuls sur Mer, France; Polish Acad Sci, Dept Antarct Biol, PL-02141 Warsaw, Poland; Univ Santa Ursula, Inst Ciencias Biol &amp; Ambientais, BR-22231010 Rio De Janeiro, Brazil</t>
  </si>
  <si>
    <t>Centre National de la Recherche Scientifique (CNRS); CNRS - National Institute for Earth Sciences &amp; Astronomy (INSU); Sorbonne Universite; Polish Academy of Sciences</t>
  </si>
  <si>
    <t>Fiala, M (corresponding author), Univ Paris 06, CNRS, UMR 7621, Lab Arago, BP 44, F-66651 Banyuls sur Mer, France.</t>
  </si>
  <si>
    <t>mfiala@obs-banyuls.fr</t>
  </si>
  <si>
    <t>0924-7963</t>
  </si>
  <si>
    <t>J MARINE SYST</t>
  </si>
  <si>
    <t>J. Mar. Syst.</t>
  </si>
  <si>
    <t>10.1016/j.jmarsys.2004.01.008</t>
  </si>
  <si>
    <t>Geosciences, Multidisciplinary; Marine &amp; Freshwater Biology; Oceanography</t>
  </si>
  <si>
    <t>Geology; Marine &amp; Freshwater Biology; Oceanography</t>
  </si>
  <si>
    <t>867LA</t>
  </si>
  <si>
    <t>WOS:000224842900006</t>
  </si>
  <si>
    <t>Bodorkos, S; Clark, DJ</t>
  </si>
  <si>
    <t>Evolution of a crustal-scale transpressive shear zone in the Albany-Fraser Orogen, SW Australia:: 1.: P-T conditions of Mesoproterozoic metamorphism in the Coramup Gneiss</t>
  </si>
  <si>
    <t>JOURNAL OF METAMORPHIC GEOLOGY</t>
  </si>
  <si>
    <t>Albany-Fraser Orogen; high-T; low-P metamorphism; Mesoproterozoic; supercontinent assembly</t>
  </si>
  <si>
    <t>WESTERN-AUSTRALIA; EAST ANTARCTICA; MINERAL ASSEMBLAGES; PHASE-RELATIONS; NEW-MEXICO; SILLIMANITE; CONSTRAINTS; COMPLEX; METAPELITES; ANDALUSITE</t>
  </si>
  <si>
    <t>The Albany-Fraser Orogen in southwestern Australia preserves an important thermo-tectonic record of Australo-Antarctic cratonic assembly during the Mesoproterozoic. New petrologic and thermobarometric data from the Coramup Gneiss (a 10 km wide zone of high strain rocks within the NE-trending eastern Albany-Fraser Orogen) indicate at least two high-grade metamorphic events during 1345-1140 Ma convergence and amalgamation of the West Australian and Mawson cratons. The first event (M1) involved c. 1300 Ma granulite facies metamorphism of the Coramup Gneiss (M1a: 800-850 degreesC, 5-7 kbar), followed by burial and recrystallization under high-P conditions (M1b: 800-850 degreesC, c. 10 kbar) prior to high-T decompression (M1c: 700-800 degreesC, 7-8 kbar) and the 1290-1280 Ma emplacement of Recherche Granite sills. The second event (M2) entailed high-T, low-P metamorphism within dextral D2 shear zones (M2a: 750-800 degreesC, 5-6 kbar), followed by fluid-present amphibolite facies M2b retrogression. Subsequent sinistral D3 mylonites and pseudotachylites are considered contemporaneous with similar structures in the adjacent Nornalup Complex that postdate the c. 1140 Ma Esperance Granite. Our petrological and thermobarometric data permit two end-member P-T-time relationships between M1 and M2: (1) a single post-M1b event involving continuous M1b-M1c-M2a-M2b cooling and decompression, and (2) a two-stage post-M1b evolution involving M1c metamorphism during the waning stages of an event unrelated causally or temporally to subsequent M2a metamorphism and D2 deformation. In a companion paper, new structural and U-Pb SHRIMP zircon data are presented to support a two-stage P-T evolution for the Coramup Gneiss, with M1 and M2, respectively, reflecting thermo-tectonic activity during Stage I (1345-1260 Ma) and Stage II (1215-1140 Ma) of the Albany-Fraser Orogeny.</t>
  </si>
  <si>
    <t>Univ Melbourne, Sch Earth Sci, Parkville, Vic 3010, Australia; Univ New S Wales, Dept Appl Geol, Sydney, NSW 2052, Australia</t>
  </si>
  <si>
    <t>University of Melbourne; University of New South Wales Sydney</t>
  </si>
  <si>
    <t>Bodorkos, S (corresponding author), Univ Melbourne, Sch Earth Sci, Parkville, Vic 3010, Australia.</t>
  </si>
  <si>
    <t>bodorkos@unimelb.edu.au</t>
  </si>
  <si>
    <t>Clark, Daniel J/F-5546-2010</t>
  </si>
  <si>
    <t>Bodorkos, Simon/0000-0001-8605-0276</t>
  </si>
  <si>
    <t>0263-4929</t>
  </si>
  <si>
    <t>J METAMORPH GEOL</t>
  </si>
  <si>
    <t>J. Metamorph. Geol.</t>
  </si>
  <si>
    <t>10.1111/j.1525-1314.2004.00543.x</t>
  </si>
  <si>
    <t>865LR</t>
  </si>
  <si>
    <t>WOS:000224705100001</t>
  </si>
  <si>
    <t>Cardoso, JCR; Power, DM; Elgar, G; Clark, MS</t>
  </si>
  <si>
    <t>Dupilicated receptors for VIP and PACAP (VPAC1R and PAC1R) in a teleost fish, Fugu rubripes</t>
  </si>
  <si>
    <t>JOURNAL OF MOLECULAR ENDOCRINOLOGY</t>
  </si>
  <si>
    <t>CYCLASE-ACTIVATING POLYPEPTIDE; VASOACTIVE-INTESTINAL-PEPTIDE; MOLECULAR-CLONING; FUNCTIONAL EXPRESSION; TISSUE DISTRIBUTION; GENOME DUPLICATION; GROWTH-HORMONE; CHROMOSOMAL LOCALIZATION; PROVIDES EVIDENCE; SPLICE VARIANTS</t>
  </si>
  <si>
    <t>Two principal groups of receptors orthologous with human PAC(1)R and VPAC(1)R and were identified and characterised at the genomic level in the teleost fish Fugu rubripes. An additional group orthologous with VPAC(2)R was also identified and partially characterised. In Fugu, gene duplication of each of the PAC(1)Rs, VPAC(1)Rs and VPAC(2)Rs appears to have occurred. The topology of the tree surrounding the Fugu duplications and other isolated piscine sequences indicates that the duplication events for these six genes clearly preceded the speciation event leading to the Cypriniformes and Tetraodontiformes and is probably teleost-specific. Overall, the combined pattern of gene expression for each pair of duplicated genes mirrored the expression in other vertebrates. However, within each pair of duplicates further specialisalion had occurred, with each demonstrating differential tissue distribution profiles suggesting they that may be responsible for the divergent action of the ligands, vasoactive intestinal peptide (VIP) and pituitary adenylate cyclase-activating peptide (PACAP). The Fugu VPAC(1)R gene regions showed conserved synteny with human chromosome 3p21(.)3 and also C. elegans chromosome X, indicating that the putative ancestral human chromosome 3 region may be equivalent to chromosome X in Caenorhabditis elegans.</t>
  </si>
  <si>
    <t>Fugu Genom Grp, MRC, HGMP, Resource Ctr, Cambridge, England; Univ Algarve, Ctr Marine Sci, P-8000117 Faro, Portugal</t>
  </si>
  <si>
    <t>Universidade do Algarve</t>
  </si>
  <si>
    <t>mscl@bas.ac.uk</t>
  </si>
  <si>
    <t>dos Reis Cardoso, Joao Carlos/M-4151-2013; Power, Deborah M/D-3333-2011; Clark, Melody/D-7371-2014</t>
  </si>
  <si>
    <t>dos Reis Cardoso, Joao Carlos/0000-0001-7890-0170; Power, Deborah M/0000-0003-1366-0246; Elgar, Greg/0000-0001-7323-1596; Clark, Melody/0000-0002-3442-3824</t>
  </si>
  <si>
    <t>BIOSCIENTIFICA LTD</t>
  </si>
  <si>
    <t>STARLING HOUSE, 1600 BRISTOL PARKWAY N, BRISTOL, ENGLAND</t>
  </si>
  <si>
    <t>0952-5041</t>
  </si>
  <si>
    <t>1479-6813</t>
  </si>
  <si>
    <t>J MOL ENDOCRINOL</t>
  </si>
  <si>
    <t>J. Mol. Endocrinol.</t>
  </si>
  <si>
    <t>10.1677/jme.1.01575</t>
  </si>
  <si>
    <t>Endocrinology &amp; Metabolism</t>
  </si>
  <si>
    <t>864MZ</t>
  </si>
  <si>
    <t>WOS:000224638900007</t>
  </si>
  <si>
    <t>Wang, WH; Jang, HJ; Hong, JK; Lee, CO; Im, KS; Bae, SJ; Jung, H</t>
  </si>
  <si>
    <t>Additional cytotoxic sterols and saponins from the starfish Certonardoa semiregularis</t>
  </si>
  <si>
    <t>JOURNAL OF NATURAL PRODUCTS</t>
  </si>
  <si>
    <t>STRUCTURE ELUCIDATION; ANTARCTIC STARFISH; CONSTITUENTS; POLYHYDROXYSTEROIDS; OLIGOGLYCOSIDES; CLATHRIOL</t>
  </si>
  <si>
    <t>Twelve new (1-7, 9-13) polyhydroxysterols and two new saponins (14 and 15) were isolated from the starfish Certonardoa semiregularis by activity-guided fractionation. Compounds 1-7 are rare examples of 15-keto steroids from starfish. The side chain of compound 11 was also unprecedented in nature. The structures were determined by combined spectroscopic methods and chemical derivatization. These compounds were evaluated for cytotoxicity against a small panel of human solid tumor cell lines, and most of them exhibited considerable activity. One of the 15-keto sterols (6) displayed the highest potency, which is comparable to that of doxorubicin.</t>
  </si>
  <si>
    <t>Pusan Natl Univ, Coll Pharm, Pusan 609735, South Korea; Inst for Basic Sci Korea, Seoul, South Korea; Silla Univ, Dept Food &amp; Nutr, Pusan, South Korea; Korea Res Inst Chem Technol, Pharmaceut Screening Ctr, Taejon, South Korea</t>
  </si>
  <si>
    <t>Pusan National University; Institute for Basic Science - Korea (IBS); Silla University; Korea Research Institute of Chemical Technology (KRICT)</t>
  </si>
  <si>
    <t>Jung, H (corresponding author), Pusan Natl Univ, Coll Pharm, Pusan 609735, South Korea.</t>
  </si>
  <si>
    <t>jhjung@pusan.ac.kr</t>
  </si>
  <si>
    <t>0163-3864</t>
  </si>
  <si>
    <t>1520-6025</t>
  </si>
  <si>
    <t>J NAT PROD</t>
  </si>
  <si>
    <t>J. Nat. Prod.</t>
  </si>
  <si>
    <t>10.1021/np049869b</t>
  </si>
  <si>
    <t>Plant Sciences; Chemistry, Medicinal; Pharmacology &amp; Pharmacy</t>
  </si>
  <si>
    <t>Science Citation Index Expanded (SCI-EXPANDED); Index Chemicus (IC)</t>
  </si>
  <si>
    <t>Plant Sciences; Pharmacology &amp; Pharmacy</t>
  </si>
  <si>
    <t>865MR</t>
  </si>
  <si>
    <t>WOS:000224707700004</t>
  </si>
  <si>
    <t>Vergara, P; Schlatter, RP</t>
  </si>
  <si>
    <t>Magellanic woodpecker (Campephilus magellanicus) abundance and foraging in Tierra del Fuego, Chile</t>
  </si>
  <si>
    <t>JOURNAL OF ORNITHOLOGY</t>
  </si>
  <si>
    <t>abundance; decay trees; foraging signs; Magellanic woodpecker (Campephilus magellanicus); Nothofagus</t>
  </si>
  <si>
    <t>RED-COCKADED WOODPECKER; HABITAT USE; PILEATED WOODPECKERS; FOREST; ECOLOGY</t>
  </si>
  <si>
    <t>The Magellanic woodpecker (Campephilus magellanicus) is a vulnerable and poorly studied bird in the sub-antarctic deciduous and evergreen beech (Nothofagus) forests of South America. On Tierra del Fuego island (Chile), we compared Magellanic woodpecker abundance and its foraging habitat in two forest types: pure N. pumilio and mixed forests composed by N. pumilio and N. betuloides, including managed and non managed stands. At a regional scale, abundance of woodpeckers was greater in landscapes including both forest types than in pure N. pumilio landscapes. When both forest types occurred together, woodpecker abundance did not differ between them. The number of trees with foraging signs was correlated with Magellanic woodpecker abundance and was also associated with N. betuloides and snag densities, but was not affected by forest management. Occurrence of pecking on foraging trees was greater in mixed Nothofagus than pure N. pumilio stands. Woodpeckers foraged disproportionately more on larger diameter and more decayed trees. Moreover, trees used for foraging were positively correlated with canopy cover and snag density and were negatively correlated with distance to nearby peatlands and beaver ponds. Direct observation revealed that the flying distance between trees was negatively correlated with proportion of trees with foraging signs. Woodpeckers chose trees that were visited before, suggesting a pattern of tree recognition within foraging territories.</t>
  </si>
  <si>
    <t>Univ Austral Chile, Inst Zool, Valdivia, Chile; Pontificia Univ Catolica Chile, Dept Ecol, Santiago, Chile</t>
  </si>
  <si>
    <t>Universidad Austral de Chile; Pontificia Universidad Catolica de Chile</t>
  </si>
  <si>
    <t>Univ Austral Chile, Inst Zool, Valdivia, Chile.</t>
  </si>
  <si>
    <t>rschlatt@uach.cl</t>
  </si>
  <si>
    <t>Vergara, Pablo M/F-2519-2010</t>
  </si>
  <si>
    <t>Vergara, Pablo M/0000-0002-0024-1678</t>
  </si>
  <si>
    <t>2193-7192</t>
  </si>
  <si>
    <t>2193-7206</t>
  </si>
  <si>
    <t>J ORNITHOL</t>
  </si>
  <si>
    <t>J. Ornithol.</t>
  </si>
  <si>
    <t>10.1007/s10336-004-0052-7</t>
  </si>
  <si>
    <t>864EN</t>
  </si>
  <si>
    <t>WOS:000224616800008</t>
  </si>
  <si>
    <t>Thomson, PG; Wright, SW; Bolch, CJS; Nichols, PD; Skerratt, JH; McMinn, A</t>
  </si>
  <si>
    <t>Antarctic distribution, pigment and lipid composition, and molecular identification of the brine dinoflagellate Polarella glacialis (Dinophyceae)</t>
  </si>
  <si>
    <t>27-nor-24-methylcholest-5; 22E-dien-3 beta-ol; Antarctic fast ice; photosynthetic pigments; Polarella glacialis; polyunsaturated fatty acids; rDNA; sterols</t>
  </si>
  <si>
    <t>FATTY-ACID; SEA-ICE; STEROL COMPOSITION; ALEXANDRIUM DINOPHYCEAE; GYMNODINIUM-CATENATUM; SOUTHERN-OCEAN; MCMURDO SOUND; MICROALGAE; CYST; PHYTOPLANKTON</t>
  </si>
  <si>
    <t>Polarella glacialis (Montresor et al.) was identified in Davis Station sea ice by morphological and DNA sequence comparison of cultures with those of the authentic strain P. glacialis CCMP 1383 isolated from McMurdo Sound. Cells and cysts of the Davis isolate (FL1B) were morphologically indistinguishable from P. glacialis, and comparison of the large subunit rDNA of both cultures demonstrated only 0.2% sequence divergence over 1366 base pairs. The photosynthetic pigments of P. glacialis (strains FL1B and CCMP 1383) were typical of dinoflagellates, with peridinin (contributing up to 31%) as the major accessory pigment. Extremely high levels of polyunsaturated fatty acids (PUFA, up to 76.3%) were characteristic of P. glacialis isolate FL1B. The high PUFA concentration of this species is thought to be an adaptation to survive the cold temperatures of the upper fast ice. The sterol profile of FL1B was atypical of dinoflagellates, with 4-desmethylsterols (up to 79%) in greater abundance than 4alpha-methyl sterols (up to 24%). 27-Nor-24-methylcholest-5,22E-dien-3beta-ol was identified as the principle sterol in P. glacialis, contributing up to 64% of the total sterol composition.</t>
  </si>
  <si>
    <t>Australian Antarctic Div, Dept Environm &amp; Heritage, Kingston, Tas 7050, Australia; Antarctic Climate &amp; Ecosyst CRC, Kingston, Tas 7050, Australia; Univ Tasmania, Sch Aquaculture, Launceston, Tas 7250, Australia; CSIRO Marine Res, Hobart, Tas 7001, Australia; Univ Tasmania, Inst Antarctic &amp; So Ocean Studies, Hobart, Tas 7001, Australia; Univ Tasmania, Antarctic Climate &amp; Ecosyst CRC, Hobart, Tas 7001, Australia</t>
  </si>
  <si>
    <t>Australian Antarctic Division; University of Tasmania; University of Tasmania; Commonwealth Scientific &amp; Industrial Research Organisation (CSIRO); University of Tasmania; University of Tasmania</t>
  </si>
  <si>
    <t>Thomson, PG (corresponding author), Australian Antarctic Div, Dept Environm &amp; Heritage, Channel Highway, Kingston, Tas 7050, Australia.</t>
  </si>
  <si>
    <t>Paul.Thomson@aad.gov.au</t>
  </si>
  <si>
    <t>McMinn, Andrew/A-9910-2008; Bolch, Christopher J/J-7619-2014; Nichols, Peter D/C-5128-2011; skerratt, jennifer/N-4313-2019; Skerratt, Jennifer/F-2010-2015</t>
  </si>
  <si>
    <t>skerratt, jennifer/0000-0001-9023-4692; Skerratt, Jennifer/0000-0001-9023-4692</t>
  </si>
  <si>
    <t>BLACKWELL PUBLISHING INC</t>
  </si>
  <si>
    <t>MALDEN</t>
  </si>
  <si>
    <t>350 MAIN ST, MALDEN, MA 02148 USA</t>
  </si>
  <si>
    <t>10.1111/j.1529-8817.2004.03169.x</t>
  </si>
  <si>
    <t>858GA</t>
  </si>
  <si>
    <t>WOS:000224179100009</t>
  </si>
  <si>
    <t>Santoso, A; England, MH</t>
  </si>
  <si>
    <t>Antarctic intermediate water circulation and variability in a coupled climate model</t>
  </si>
  <si>
    <t>SOUTHWEST PACIFIC-OCEAN; EDDY-INDUCED ADVECTION; DYNAMIC SEA-ICE; INTERANNUAL VARIABILITY; CIRCUMPOLAR WAVE; DECADAL CHANGES; INDIAN OCEANS; ATLANTIC; TRANSPORT; MASSES</t>
  </si>
  <si>
    <t>The variability of Antarctic Intermediate Water (AAIW) in a long-term natural integration of a coupled climate model is examined. The mean state of the climate model includes a realistic representation of AAIW, which appears centered on the sigma(theta)=27.2 kg m(-3) density surface (hereinafter sigma(27.2)) both in observations and the model. An assessment of ventilation rates on the sigma(27.2) surface suggests that this particular climate model forms AAIW in a mostly circumpolar fashion, with a significant contribution from Antarctic Surface Water. This motivates the assessment of oceanic variability along this core AAIW isopycnal surface. Complex empirical orthogonal function analyses decompose the variability into three dominant modes showing circumpolar patterns of zonal wavenumber-1, -2, and -3 on the sigma(27.2) density surface. The modes contain eastward-propagating signals at interannual to centennial time scales. Mechanisms forcing this variability are investigated using heat and salt budget analyses at the wintertime outcrop of the sigma(27.2) surface. Such an approach ignores the mechanism of AAIW variability sourced by Subantarctic Mode Water variations, which has been examined previously and is, for the most part, beyond the present study. Variability in meltwater rates and atmospheric heat and freshwater fluxes are found to dominate the intermediate water variability at the outcrop region. In contrast, northward Ekman transport of heat and salt plays a significant but localized role in AAIW temperature-salinity variability. There is also an important contribution from the Antarctic Circumpolar Current to the variability at the outcrop region via zonal transport of heat and salt. While the magnitude of AAIW natural variability can be large near the outcrop of the salinity minimum layer, recent observations of cooling and freshening at depth are suggested to be beyond that of the unperturbed system.</t>
  </si>
  <si>
    <t>M.England@unsw.edu.au</t>
  </si>
  <si>
    <t>Santoso, Agus/J-7350-2012; Santoso, Agus/P-1918-2019; England, Matthew/A-7539-2011</t>
  </si>
  <si>
    <t>Santoso, Agus/0000-0001-7749-8124; England, Matthew/0000-0001-9696-2930</t>
  </si>
  <si>
    <t>10.1175/1520-0485(2004)034&lt;2160:AIWCAV&gt;2.0.CO;2</t>
  </si>
  <si>
    <t>866FV</t>
  </si>
  <si>
    <t>WOS:000224760200003</t>
  </si>
  <si>
    <t>McMinn, A; Hegseth, EN</t>
  </si>
  <si>
    <t>Quantum yield and photosynthetic parameters of marine microalgae from the southern Arctic Ocean, Svalbard</t>
  </si>
  <si>
    <t>JOURNAL OF THE MARINE BIOLOGICAL ASSOCIATION OF THE UNITED KINGDOM</t>
  </si>
  <si>
    <t>SEA-ICE; BARENTS SEA; PRIMARY PRODUCTIVITY; PHYTOPLANKTON; ALGAE; FLUORESCENCE; ANTARCTICA; COMMUNITIES; POLAR; RATES</t>
  </si>
  <si>
    <t>The quantum yield and photosynthetic parameters of phytoplankton and sea ice microalgal communities were assessed from the Arctic Ocean and Fords of northern Svalbard. The phytoplankton community in Fram Strait was dominated by Phaeocystis while on Norskebanken it was dominated by diatoms. The quantum yield showed maximum values of 0.64 at 20-40 m below the surface and were consistent with nutrient replete waters elsewhere. Sea ice infiltration communities were widespread and dominated by Placeocystis. This is the first record of an Arctic infiltration ice community. Quantum yields were relatively low (0.247). Bottom ice communities, which were dominated by, Nitzschia frigida, were extremely restricted and had moderate quantum yields (0.427). Communities growing on multiyear ice had quantum yields of only 0.126. All ice communities were well adapted to their light environment.</t>
  </si>
  <si>
    <t>Univ Tasmania, Inst Antarctic &amp; So Ocean Studies, Hobart, Tas 7001, Australia; Univ Tromso, Norwegian Coll Fishery Sci, N-9037 Tromso, Norway</t>
  </si>
  <si>
    <t>University of Tasmania; UiT The Arctic University of Tromso</t>
  </si>
  <si>
    <t>McMinn, A (corresponding author), Univ Tasmania, Inst Antarctic &amp; So Ocean Studies, Private Bag 77, Hobart, Tas 7001, Australia.</t>
  </si>
  <si>
    <t>Andrew.Mcminn@utas.edu.au</t>
  </si>
  <si>
    <t>0025-3154</t>
  </si>
  <si>
    <t>J MAR BIOL ASSOC UK</t>
  </si>
  <si>
    <t>J. Mar. Biol. Assoc. U.K.</t>
  </si>
  <si>
    <t>10.1017/S0025315404010112h</t>
  </si>
  <si>
    <t>870NC</t>
  </si>
  <si>
    <t>WOS:000225063700001</t>
  </si>
  <si>
    <t>Solís-Marín, FA; Billett, DSM; Preston, J; Rogers, AD</t>
  </si>
  <si>
    <t>Mitochondrial DNA sequence evidence supporting the recognition of a new North Atlantic Pseudostichopus species (Echinodermata: Holothuroidea)</t>
  </si>
  <si>
    <t>NUCLEOTIDE-SEQUENCE; GENE ORGANIZATION; PHYLOGENY; PROGRAM</t>
  </si>
  <si>
    <t>A new species of the synallactid sea cucumber genus Pseudostichopus is described, P. aemaulatus sp. nov., based on genetic (DNA sequences of the mitochondrial gene Cytochrome Oxidase I [COI] gene) and morphological characters. A comparative molecular study with two other species of the same genus (P villosus and P. mollis) and from a different: Family (Isostichopus fuscus) was carried out in order to clarify its taxonomic identity. The nucleotide distance between P. aemulatus sp. nov. and P. villosus and P. mollis is sufficient to support distinct species status. The estimated difference in the number of amino acids, coded for by a partially sequenced COI gene, within the species of the family Synallactidae ranged from 4 to 18. The phylogenetic analysis clearly supports separate species status of these sympatric morphotypes, as indicated by the morphological analysis.</t>
  </si>
  <si>
    <t>Univ Nacl Autonoma Mexico, Inst Ciencias Mar &amp; Limnol, Lab Sistemat &amp; Ecol Equinodermos, Mexico City 04510, DF, Mexico; SOES, SOC, Southampton SO14 3ZH, Hants, England; British Antarctic Survey, Cambridge CB3 0ET, England</t>
  </si>
  <si>
    <t>Universidad Nacional Autonoma de Mexico; NERC National Oceanography Centre; University of Southampton; UK Research &amp; Innovation (UKRI); Natural Environment Research Council (NERC); NERC British Antarctic Survey</t>
  </si>
  <si>
    <t>Univ Nacl Autonoma Mexico, Inst Ciencias Mar &amp; Limnol, Lab Sistemat &amp; Ecol Equinodermos, Apdo Post 70-305, Mexico City 04510, DF, Mexico.</t>
  </si>
  <si>
    <t>fasolis@icmyl.unam.mx</t>
  </si>
  <si>
    <t>Preston, Joanne/0000-0002-2268-4998; Rogers, Alex David/0000-0002-4864-2980</t>
  </si>
  <si>
    <t>1469-7769</t>
  </si>
  <si>
    <t>10.1017/S002531540401046Xh</t>
  </si>
  <si>
    <t>WOS:000225063700036</t>
  </si>
  <si>
    <t>McClintock, JB; Amsler, MO; Amsler, CD; Southworth, KJ; Petrie, C; Baker, BJ</t>
  </si>
  <si>
    <t>Biochemical composition, energy content and chemical antifeedant and antifoulant defenses of the colonial Antarctic ascidian Distaplia cylindrica</t>
  </si>
  <si>
    <t>BRACHIOPOD LIOTHYRELLA-UVA; PREDATORY REEF FISH; CARIBBEAN SPONGES; SECONDARY METABOLITES; INVERTEBRATE PREDATORS; POPULATION-STRUCTURE; STRUCTURAL DEFENSES; MCMURDO-SOUND; SOFT CORALS; PALATABILITY</t>
  </si>
  <si>
    <t>The colonial ascidian Distaplia cylindrica occurs both as scattered individual colonies or in gardens of colonies in fine-grained soft substrata below 20 m depths off Anvers Island along the Antarctic Peninsula. Individual colonies, shaped as tall rod-like cylinders and anchored in the sediments by a bulbous base, may measure up to 7 m in height. D. cylindrica represent a considerable source of materials and energy for prospective predators, as well as potential surface area for fouling organisms. Nonetheless, qualitative in situ observations provided no evidence of predation by sympatric predators such as abundant sea stars, nor obvious biofouling of colony surfaces. Mean energy content of whole-colony tissue of D. cylindrica was relatively high for an ascidian (14.7 kJ g(-1) dry wt), with most of this energy attributable to protein (12.7 kJ g(-1) dry wt). The sympatric omnivorous sea star Odontaster validus consistently rejected pieces of D. cylindrica colonies in laboratory feeding assays, while readily ingesting similarly sized alginate food pellets. Feeding deterrence was determined to be attributable to defensive chemistry, as colonies of D. cylindrica are nutritionally attractive and lack physical protection (conspicuous skeletal elements or a tough outer tunic), and O. validus display significant feeding-deterrent responses to alginate food pellets containing tissue-level concentrations of organic extracts. In addition, high acidity measured on outer colony surfaces (pH 1.5) as well as homogenized whole-colony tissues (pH 2.5) are indicative of surface sequestration of inorganic acids. Agar food pellets prepared at tissue levels of acidity resulted in significant feeding deterrence in sea stars. Thus, both inorganic acids and secondary metabolites contribute to chemical feeding defenses. D. cylindrica also possesses potent antifoulant secondary metabolites. Tissue-level concentrations of hydrophilic and lipophilic extracts caused significant mortality in a sympatric pennate diatom. Chemical feeding deterrents and antifoulants are likely to contribute to the abundance of D. cylindrica and, in turn, play a role in regulating energy transfer and community structure in benthic marine environments surrounding Antarctica.</t>
  </si>
  <si>
    <t>Univ Alabama Birmingham, Dept Biol, Birmingham, AL 35294 USA; Univ S Florida, Dept Chem, Tampa, FL 33620 USA</t>
  </si>
  <si>
    <t>Univ Alabama Birmingham, Dept Biol, Birmingham, AL 35294 USA.</t>
  </si>
  <si>
    <t>Amsler, Charles/0000-0002-4843-3759</t>
  </si>
  <si>
    <t>10.1007/s00227-004-1388-5</t>
  </si>
  <si>
    <t>864EI</t>
  </si>
  <si>
    <t>WOS:000224616200004</t>
  </si>
  <si>
    <t>Jackson, GD; Semmens, JM; Phillips, KL; Jackson, CH</t>
  </si>
  <si>
    <t>Reproduction in the deepwater squid Moroteuthis ingens, what does it cost?</t>
  </si>
  <si>
    <t>ILLEX-ARGENTINUS MOLLUSCA; LOLIGO-VULGARIS-REYNAUDII; PHOTOLOLIGO SP; NEW-ZEALAND; FALKLAND-ISLANDS; STOMACH CONTENTS; DIGESTIVE GLAND; SOMATIC GROWTH; SOUTHERN-OCEAN; CEPHALOPODA</t>
  </si>
  <si>
    <t>The cost of reproduction for the terminal spawning onychoteuthid squid, Moroteuthis ingens, was analysed using measures of condition and tissue biochemistry. Both males and females showed a dramatic drop in the weight of the gonad in stage 6 (spent) individuals. The mantle weight and nidamental gland weight of females also decreased during the maturation process. Males, however, had a marked increase in both the penis and spermatophoric complex weight in spent individuals, while female oviducal gland weight and nidamental gland length also increased in stage 6 individuals. Residual analysis indicated that testis growth was not developing at the expense of mantle growth, although there was a suggestion of cost to the fins. Females showed that the development of the ovary occurred at a cost to both the mantle and fins. Overall body condition also declined with maturity stage for both males and females, with stage 6 individuals of both sexes in poor condition. Very few females had eggs in the oviducts, suggesting that the oviducts are used as ducts instead of storage organs. Proximal analysis revealed a loss of constituents within the mantle during maturation, with an associated increase in water, indicating the remobilization of energy from the mantle to fuel reproduction. This study suggests that the digestive gland is not used as an energy store in this species.</t>
  </si>
  <si>
    <t>Univ Tasmania, Inst Antarctic &amp; So Ocean Studies, Hobart, Tas 7001, Australia; Univ Tasmania, Tasmanian Aquaculture &amp; Fisheries Inst, Marine Res Labs, Hobart, Tas 7053, Australia</t>
  </si>
  <si>
    <t>University of Tasmania; University of Tasmania</t>
  </si>
  <si>
    <t>Jackson, GD (corresponding author), Univ Tasmania, Inst Antarctic &amp; So Ocean Studies, Private Bag 77, Hobart, Tas 7001, Australia.</t>
  </si>
  <si>
    <t>george.jackson@utas.edu.au</t>
  </si>
  <si>
    <t>Jackson, George D/AAI-7315-2021</t>
  </si>
  <si>
    <t>Semmens, Jayson/0000-0003-1742-6692</t>
  </si>
  <si>
    <t>10.1007/s00227-004-1375-x</t>
  </si>
  <si>
    <t>WOS:000224616200006</t>
  </si>
  <si>
    <t>Casas, D; Ercilla, G; Estrada, F; Alonso, B; Baraza, J; Lee, H; Kayen, R; Chiocci, F</t>
  </si>
  <si>
    <t>Physical and geotechnical properties and assessment of sediment stability on the continental slope and basin of the Bransfield Basin (Antarctica Peninsula)</t>
  </si>
  <si>
    <t>MARINE GEORESOURCES &amp; GEOTECHNOLOGY</t>
  </si>
  <si>
    <t>Antarctica; Bransfield Basin; sedimentology; slope stability</t>
  </si>
  <si>
    <t>SURFACE SEDIMENTS; MARINE-SEDIMENTS; WEST ANTARCTICA; SOUND-VELOCITY; ATLANTIC OCEAN; SEA; EVOLUTION; STRAIT; MARGIN; NORTH</t>
  </si>
  <si>
    <t>Our investigation is centred on the continental slope of the Antarctic Peninsula and adjacent basin. Type of sediments, sedimentary stratigraphy, and physical and geotechnical characterization of the sediments have been integrated. Four different types of sediments have been defined: diamictons, silty and muddy turbidites, muddy, silty and muddy matrix embedded clast contourites. There is a close correspondence between the physical properties (density, magnetic susceptibility and p-wave velocity) and the texture and/or fabric as laminations and strati. cation. From a quantitative point of view, only a few statistical correlations between textural and physical properties have been found. Within the geotechnical properties, only water content is most influenced by texture. This slope, with a maximum gradient observed (20degrees), is stable, according to the stability under gravitational loading concepts, and the maximum stable slope that would range from 22degrees to 29degrees. Nevertheless, different instability features have been observed. Volcanic activity, bottom currents, glacial loading-unloading or earthquakes can be considered as potential mechanisms to induce instability in this area.</t>
  </si>
  <si>
    <t>CSIC, CMIMA, Inst Ciencias Mar, Barcelona, Spain; US Geol Survey, Menlo Pk, CA 94025 USA; Univ Roma La Sapienza, Rome, Italy</t>
  </si>
  <si>
    <t>Consejo Superior de Investigaciones Cientificas (CSIC); CSIC - Centro Mediterraneo de Investigaciones Marinas y Ambientales (CMIMA); CSIC - Instituto de Ciencias del Mar (ICM); United States Department of the Interior; United States Geological Survey; Sapienza University Rome</t>
  </si>
  <si>
    <t>CSIC, Inst Ciencies War, Passeig Maritim Barcelonetta 37-49, E-08003 Barcelona, Spain.</t>
  </si>
  <si>
    <t>davidc@icm.csic.es</t>
  </si>
  <si>
    <t>Kayen, Robert/JTV-4444-2023; Ercilla, Gemma/G-8180-2015; Casas, David/B-9576-2009; Alonso, Belen/A-5531-2015; Estrada, Ferran/G-8255-2015</t>
  </si>
  <si>
    <t>Casas, David/0000-0001-5258-7067; Ercilla, Gemma/0000-0002-9709-2938; Alonso, Belen/0000-0002-3138-5260; Kayen, Robert/0000-0002-0356-072X; Estrada, Ferran/0000-0001-5536-0183; CHIOCCI, Francesco Latino/0000-0002-4584-2258</t>
  </si>
  <si>
    <t>TAYLOR &amp; FRANCIS INC</t>
  </si>
  <si>
    <t>PHILADELPHIA</t>
  </si>
  <si>
    <t>530 WALNUT STREET, STE 850, PHILADELPHIA, PA 19106 USA</t>
  </si>
  <si>
    <t>1064-119X</t>
  </si>
  <si>
    <t>1521-0618</t>
  </si>
  <si>
    <t>MAR GEORESOUR GEOTEC</t>
  </si>
  <si>
    <t>Mar. Geores. Geotechnol.</t>
  </si>
  <si>
    <t>10.1080/10641190490900853</t>
  </si>
  <si>
    <t>Engineering, Ocean; Engineering, Geological; Oceanography; Mining &amp; Mineral Processing</t>
  </si>
  <si>
    <t>Engineering; Oceanography; Mining &amp; Mineral Processing</t>
  </si>
  <si>
    <t>884AA</t>
  </si>
  <si>
    <t>WOS:000226055800003</t>
  </si>
  <si>
    <t>Branch, TA; Matsuoka, K; Miyashita, T</t>
  </si>
  <si>
    <t>Evidence for increases in Antarctic blue whales based on Bayesian modelling</t>
  </si>
  <si>
    <t>MARINE MAMMAL SCIENCE</t>
  </si>
  <si>
    <t>Antarctic blue whales; true blue whales; Balaenoptera musculus intermedia; Balaenoptera musculus brevicaiida; meta-analysis; Bayesian models; rate of increase; Southern Hemisphere; population assessment; abundance estimate</t>
  </si>
  <si>
    <t>STOCK ASSESSMENT; HUMPBACK WHALES; MORTALITY-RATE; METAANALYSIS; PARAMETERS; ABUNDANCE; FISHERIES; SURVIVAL; DECADES; RATES</t>
  </si>
  <si>
    <t>Antarctic blue whales (Balaenoptera musculus intermedia) are the largest and formerly most abundant blue whale subspecies, but were hunted to near extinction last century. Estimated whaling mortality was unsustainable from 1928 to 1972 (except during 1942-1944), depleting them from 239,000 (9596 interval 202,000-311,000) to a low of 360 (150-840) in 1973. Obtaining statistical evidence for subsequent increases has proved difficult due to their scarcity. We fitted Bayesian models to three sighting series (1968-2001), constraining maximum rates of increase to 12% per annum. These models indicated that Antarctic blue whales are increasing at a mean rate of 7.3% per annum (1.49%-11.6%). Informative priors based on blue whale biology (4.3%, SD = 1.9%) and a Bayesian hierarchical meta-analysis of increase rates in other blue whale populations (-0.3%, SD = 11.6%), suggest plausible increase rates are lower (although the latter has wide intervals), but a meta-analysis of other mysticetes obtains similar rates of increase (6.7%, SD = 4.0%). Possible biases affecting the input abundance estimates are discussed. Although Antarctic blue whales appear to have been increasing since Soviet illegal whaling ended in 1972, they still need to be protected-their estimated 1996 population size, 1,700 (860-2,900), was just 0.7% (0.3%-1.3%) of the pre-exploitation level.</t>
  </si>
  <si>
    <t>Univ Washington, Sch Aquat &amp; Fishery Sci, Seattle, WA 98195 USA; Inst Cetacean Res, Survey Div, Tokyo 1040055, Japan; Fisheries Res Agcy, Natl Res Inst Far Seas Fisheries, Cetacean Resources Management Sect, Shimizu, Shizuoka 4248633, Japan</t>
  </si>
  <si>
    <t>University of Washington; University of Washington Seattle; Japan Fisheries Research &amp; Education Agency (FRA)</t>
  </si>
  <si>
    <t>Branch, TA (corresponding author), Univ Washington, Sch Aquat &amp; Fishery Sci, Box 355020, Seattle, WA 98195 USA.</t>
  </si>
  <si>
    <t>tbranch@u.washington.edu</t>
  </si>
  <si>
    <t>Branch, Trevor/A-5691-2009</t>
  </si>
  <si>
    <t>Branch, Trevor/0000-0003-4308-8930</t>
  </si>
  <si>
    <t>SOC MARINE MAMMALOGY</t>
  </si>
  <si>
    <t>1041 NEW HAMPSHIRE ST, LAWRENCE, KS 66044 USA</t>
  </si>
  <si>
    <t>0824-0469</t>
  </si>
  <si>
    <t>MAR MAMMAL SCI</t>
  </si>
  <si>
    <t>Mar. Mamm. Sci.</t>
  </si>
  <si>
    <t>10.1111/j.1748-7692.2004.tb01190.x</t>
  </si>
  <si>
    <t>862KH</t>
  </si>
  <si>
    <t>WOS:000224489000004</t>
  </si>
  <si>
    <t>Murray, JW; Pudsey, CJ</t>
  </si>
  <si>
    <t>Living (stained) and dead foraminifera from the newly ice-free Larsen Ice Shelf, Weddell Sea, Antarctica: ecology and taphonomy</t>
  </si>
  <si>
    <t>MARINE MICROPALEONTOLOGY</t>
  </si>
  <si>
    <t>Larsen Ice Shelf; benthic foraminifera; taphonomy; dissolution; antarctica; Holocene</t>
  </si>
  <si>
    <t>BENTHIC FORAMINIFERA; PALMER-DEEP; HOLOCENE; PENINSULA; OCEAN; SEDIMENTS; RETREAT; RECORD; CORES</t>
  </si>
  <si>
    <t>Within the past 7 years, the northern Larsen Ice Shelf has broken up so it is now possible to sample the sea floor that formerly lay beneath it. Box cores have yielded surface sediment samples (0-1 cm) that give information on living and dead foraminiferal assemblages. The living assemblages are of moderate diversity and four have &gt;50% calcareous tests while five have &gt;50% agglutinated tests. This is an area of high primary production and the standing crops of the benthic foraminiferal assemblages are high. All the dead assemblages are much enriched in agglutinated tests, often &gt;90%. They give a time-averaged record of the past 7 ice-free years and several decades of ice cover. The loss of permanent ice cover (there is still seasonal ice cover) may have caused some response from the fauna, but it is likely that it was mainly changes in relative/absolute abundance of the existing fauna. The differences between the live and dead assemblages in the surface 1 cm are attributed mainly to taphonomic effects: dissolution of calcareous tests and loss of fragile agglutinated tests. Subsurface samples down to 5 cm show that dissolution of calcareous tests is widespread and there may be some loss of fragile agglutinated forms such as Reophax subdentaliniformis. For these reasons, in this area, it may be best to make palaeoecological interpretations on the agglutinated component of the fossil assemblages. (C) 2004 Elsevier B.V. All rights reserved.</t>
  </si>
  <si>
    <t>Southampton Oceanog Ctr, Sch Ocean &amp; Earth Sci, Southampton SO14 3ZN, Hants, England; British Antarctic Survey, Cambridge CB3 0ET, England</t>
  </si>
  <si>
    <t>NERC National Oceanography Centre; University of Southampton; UK Research &amp; Innovation (UKRI); Natural Environment Research Council (NERC); NERC British Antarctic Survey</t>
  </si>
  <si>
    <t>Southampton Oceanog Ctr, Sch Ocean &amp; Earth Sci, European Way, Southampton SO14 3ZN, Hants, England.</t>
  </si>
  <si>
    <t>jwm1@mail.soc.soton.ac.uk</t>
  </si>
  <si>
    <t>0377-8398</t>
  </si>
  <si>
    <t>1872-6186</t>
  </si>
  <si>
    <t>MAR MICROPALEONTOL</t>
  </si>
  <si>
    <t>Mar. Micropaleontol.</t>
  </si>
  <si>
    <t>10.1016/j.marmicro.2004.04.001</t>
  </si>
  <si>
    <t>873VA</t>
  </si>
  <si>
    <t>WOS:000225308000004</t>
  </si>
  <si>
    <t>Zou, CZ; Van Woert, ML; Xu, CY; Syed, K</t>
  </si>
  <si>
    <t>Assessment of the NCEP-DOE reanalysis-2 and TOVS Pathfinder A moisture fields and their use in Antarctic net precipitation estimates</t>
  </si>
  <si>
    <t>MONTHLY WEATHER REVIEW</t>
  </si>
  <si>
    <t>ATMOSPHERIC HYDROLOGIC-CYCLE; WATER-VAPOR; SOUTHERN-OCEAN; SATELLITE DATA; ARCTIC BASIN; TRANSPORT; VARIABILITY; ENERGY; BUDGET; MASS</t>
  </si>
  <si>
    <t>Moisture fields from the NCEP-DOE reanalysis-2 (R-2) and Television Infrared Observational Satellite ( TIROS) Operational Vertical Sounder (TOVS) Pathfinder A are validated using the Special Sensor Microwave Imager (SSM/I) retrievals over the Southern Ocean. It is shown that the spatial distributions of the annual mean statistics of the total precipitable water are similar among SSM/I, R-2, and TOVS Pathfinder A for both the eddy and mean components. However, transient statistics show that the R-2 total precipitable water agrees with SSM/I with a correlation of 0.77 over the Southern Ocean while the TOVS Pathfinder A moisture is almost uncorrelated with the SSM/I data. Total moisture transport convergence for 1988 over the Antarctic continent is further examined using the R-2 wind and moisture data as well as the moisture retrievals from TOVS Pathfinder A. To gain a better understanding of transient and mean processes on moisture transport, the total moisture transport was decomposed into mean and eddy components. The results suggest that a mass conservation correction is necessary for the mean component, but can safely be ignored for the eddy component. With the mass conservation correction, the mean moisture transport is about the same for both the R-2 estimate alone and the estimate based on the mixed TOVS Pathfinder A moisture-R-2 wind. The computed eddy and total moisture transport convergence over Antarctica for the R-2 data agrees within 10%-15% with previous surface-data-based estimates as well as estimates from other model analyses. However, the eddy component of the mixed TOVS moisture with R-2 wind is about 60%-70% lower than the R-2 result. These differences occur because the eddy moisture amplitude of the TOVS Pathfinder A is nearly 40% lower than the R-2 data and also because the TOVS moisture has a much lower correlation with the R-2 winds. These results reflect the difficulties with the TOVS sensor in quantifying synoptic moisture transients resulting from conditional sampling problems.</t>
  </si>
  <si>
    <t>NOAA, Ctr Sci, Off Res &amp; Applicat, NOAA NESDIS, Camp Springs, MD 20746 USA; Joint Ctr Satellite Data Assimilat, Camp Springs, MD USA; US Natl Ice Ctr, Washington, DC USA; QSS Grp Inc, Lanham, MD USA; Univ Maryland, Cooperat Inst Climate Studies, College Pk, MD 20742 USA</t>
  </si>
  <si>
    <t>National Oceanic Atmospheric Admin (NOAA) - USA; National Oceanic Atmospheric Admin (NOAA) - USA; University System of Maryland; University of Maryland College Park</t>
  </si>
  <si>
    <t>NOAA, Ctr Sci, Off Res &amp; Applicat, NOAA NESDIS, Rm 712,5200 Auth Rd, Camp Springs, MD 20746 USA.</t>
  </si>
  <si>
    <t>Cheng-Zhi.Zou@noaa.gov</t>
  </si>
  <si>
    <t>Zou, Cheng-Zhi/E-3085-2010</t>
  </si>
  <si>
    <t>Zou, Cheng-Zhi/0000-0003-4124-6448</t>
  </si>
  <si>
    <t>45 BEACON ST, BOSTON, MA 02108-3693, UNITED STATES</t>
  </si>
  <si>
    <t>0027-0644</t>
  </si>
  <si>
    <t>1520-0493</t>
  </si>
  <si>
    <t>MON WEATHER REV</t>
  </si>
  <si>
    <t>Mon. Weather Rev.</t>
  </si>
  <si>
    <t>10.1175/1520-0493(2004)132&lt;2463:AOTNRA&gt;2.0.CO;2</t>
  </si>
  <si>
    <t>859QE</t>
  </si>
  <si>
    <t>WOS:000224282200012</t>
  </si>
  <si>
    <t>Tosi, S; Caretta, G; Humber, RA</t>
  </si>
  <si>
    <t>Conidiobolus antarcticus, a new species from continental Antarctica</t>
  </si>
  <si>
    <t>MYCOTAXON</t>
  </si>
  <si>
    <t>antarctic fungi; taxonomy</t>
  </si>
  <si>
    <t>NUMERICAL TAXONOMY; SYSTEMATICS; INDIA</t>
  </si>
  <si>
    <t>Conidiobolus antarcticus sp. nov. (Entomoplithorales: Ancylistaceae), was isolated from the antarctic mosses Scistidium antarctici and Hennediella heimii. It is the first record of an Entomophthorales species in continental Antarctica. This new fungus is distinguished from other species of the same genus in the size and shape of the primary conidia and zygospores, and in the disjunctive mycelial hyphae.</t>
  </si>
  <si>
    <t>Univ Pavia, Sez Micol, Dipartimento Ecol Territorio &amp; Ambienti, I-27100 Pavia, Italy; USDA, ARS, Collect Entomopathogen Fungal Cultures, Plant Protect Res Unit,US Plant Soil &amp; Nutr Lab, Ithaca, NY 14853 USA</t>
  </si>
  <si>
    <t>University of Pavia; United States Department of Agriculture (USDA)</t>
  </si>
  <si>
    <t>Tosi, S (corresponding author), Univ Pavia, Sez Micol, Dipartimento Ecol Territorio &amp; Ambienti, Via S Epifanio 14, I-27100 Pavia, Italy.</t>
  </si>
  <si>
    <t>stosi@et.unipv.it</t>
  </si>
  <si>
    <t>Tosi, Solveig/AAC-9482-2019</t>
  </si>
  <si>
    <t>Tosi, Solveig/0000-0002-6769-6984</t>
  </si>
  <si>
    <t>MYCOTAXON LTD</t>
  </si>
  <si>
    <t>ITHACA</t>
  </si>
  <si>
    <t>PO BOX 264, ITHACA, NY 14851-0264 USA</t>
  </si>
  <si>
    <t>0093-4666</t>
  </si>
  <si>
    <t>Mycotaxon</t>
  </si>
  <si>
    <t>885JY</t>
  </si>
  <si>
    <t>WOS:000226154100014</t>
  </si>
  <si>
    <t>E, DC; Zhou, CX; Liao, MS</t>
  </si>
  <si>
    <t>Application of SAR interferometry on DEM generation of the Grove Mountains</t>
  </si>
  <si>
    <t>PHOTOGRAMMETRIC ENGINEERING AND REMOTE SENSING</t>
  </si>
  <si>
    <t>RADAR INTERFEROMETRY</t>
  </si>
  <si>
    <t>The Grove Mountains Area is situated to the southwest Of Princess Elizabeth Land, the inland areas of east Antarctica. Adopting Landsat-4 TM images, a coloured satellite image map of Grove Mountains was produced and used to design an expedition route to Grove Mountains in 1998. In 2000, a field survey of the core area was completed with GPS and total station surveys. However, traditional mapping methods are no longer the most efficient means of obtaining topographic maps or DEM in large areas, especially those areas that are more inaccessible. Synthetic aperture radar interferometry has been proposed as a potential technique for digital elevation model (DEM) generation, topographic mapping, and Surface motion detection. This paper presents an experimental investigation of the ERS-1/2 SAR tandem data on DEM generation of the Grove Mountains Gore Area, and compares the DEM derived by INSAR with the DEM generated using field Survey data. The paper confirms that INSAR is a very valuable technique to be utilized in Antarctica, and that INSAR can be employed to produce complementary field Survey products.</t>
  </si>
  <si>
    <t>Wuhan Univ, Chinese Antarctic Ctr Surveying &amp; Mapping, Wuhan 430079, Peoples R China; Wuhan Univ, State Key Lab Informat Engn Surveying Mapping &amp; R, Wuhan 430079, Peoples R China</t>
  </si>
  <si>
    <t>Wuhan University; Wuhan University</t>
  </si>
  <si>
    <t>Wuhan Univ, Chinese Antarctic Ctr Surveying &amp; Mapping, Wuhan 430079, Peoples R China.</t>
  </si>
  <si>
    <t>zhoucx@whu.edu.cn</t>
  </si>
  <si>
    <t>Liao, Mingsheng/0000-0001-9556-4287</t>
  </si>
  <si>
    <t>AMER SOC PHOTOGRAMMETRY</t>
  </si>
  <si>
    <t>5410 GROSVENOR LANE SUITE 210, BETHESDA, MD 20814-2160 USA</t>
  </si>
  <si>
    <t>0099-1112</t>
  </si>
  <si>
    <t>2374-8079</t>
  </si>
  <si>
    <t>PHOTOGRAMM ENG REM S</t>
  </si>
  <si>
    <t>Photogramm. Eng. Remote Sens.</t>
  </si>
  <si>
    <t>Geography, Physical; Geosciences, Multidisciplinary; Remote Sensing; Imaging Science &amp; Photographic Technology</t>
  </si>
  <si>
    <t>Physical Geography; Geology; Remote Sensing; Imaging Science &amp; Photographic Technology</t>
  </si>
  <si>
    <t>860BJ</t>
  </si>
  <si>
    <t>WOS:000224312300006</t>
  </si>
  <si>
    <t>Donnelly, J; Torres, JJ; Sutton, TT; Simoniello, C</t>
  </si>
  <si>
    <t>Fishes of the eastern Ross Sea, Antarctica</t>
  </si>
  <si>
    <t>WEDDELL SEA; NOTOTHENIOID FISHES; VERTICAL-DISTRIBUTION; POGONOPHRYNE PISCES; DEMERSAL FISH; SCOTIA SEA; ECOLOGY; PERCIFORMES; ARTEDIDRACONIDAE; FAUNA</t>
  </si>
  <si>
    <t>Antarctic fishes were sampled with 41 midwater and 6 benthic trawls during the 1999-2000 austral summer in the eastern Ross Sea. The oceanic pelagic assemblage (0-1,000 m) contained Electrona antarctica, Gymnoscopelus opisthopterus, Bathylagus antarcticus, Cyclothone kobayashii and Notolepis coatsi. These were replaced over the shelf by notothenioids, primarily Pleuragramma antarcticum. Pelagic biomass was low and concentrated below 500 m. The demersal assemblage was characteristic of East Antarctica and included seven species each of Artedidraconidae, Bathydraconidae and Channichthyidae, ten species of Nototheniidae, and three species each of Rajidae and Zoarcidae. Common species were Trematomus eulepidotus (36.5%), T. scotti (32.0%), Prionodraco evansii (4.9%), T. loennbergii (4.7%) and Chaenodraco wilsoni (4.3%). Diversity indices were highest for tows from 450 to 517 m (H'=1.90-2.35). Benthic biomass ranged from 0.7 to 3.5 t km(-2). It was generally higher in tows from 450 to 517 m (0.9-2.0 t km(-2)) although the highest biomass occurred at an inner-shelf station (238 m) due to large catches of T. eulepidotus, T. scotti and P. evansii.</t>
  </si>
  <si>
    <t>Univ S Florida, Coll Marine Sci, St Petersburg, FL 33701 USA; Harbor Branch Oceanog Inst Inc, Ft Pierce, FL 34946 USA</t>
  </si>
  <si>
    <t>State University System of Florida; University of South Florida; Harbor Branch Oceanographic Institute Foundation</t>
  </si>
  <si>
    <t>Donnelly, J (corresponding author), Univ S Florida, Coll Marine Sci, 140 7th Ave S, St Petersburg, FL 33701 USA.</t>
  </si>
  <si>
    <t>donnelly@marine.usf.edu</t>
  </si>
  <si>
    <t>Sutton, Tracey/AAW-7644-2021</t>
  </si>
  <si>
    <t>Sutton, Tracey/0000-0002-5280-7071</t>
  </si>
  <si>
    <t>10.1007/s00300-004-0632-2</t>
  </si>
  <si>
    <t>866CZ</t>
  </si>
  <si>
    <t>WOS:000224752200001</t>
  </si>
  <si>
    <t>Sun, LG; Zhu, RB; Yin, XB; Liu, XD; Xie, ZQ; Wang, YH</t>
  </si>
  <si>
    <t>A geochemical method for the reconstruction of the occupation history of a penguin colony in the maritime Antarctic</t>
  </si>
  <si>
    <t>CHINSTRAP PENGUINS; POPULATION TRENDS; LATE-HOLOCENE; ADELIE; BAY; INDICATORS; ECOSYSTEMS; ROOKERIES; SEABIRDS; CROZET</t>
  </si>
  <si>
    <t>A geochemical method, mainly based upon analyses of bio-elements in the sediments from the inter-zone depression between a penguin colony and tundra vegetation, was proposed and applied to reconstruct the occupation history of a penguin colony in the maritime Antarctic. The results from the samples of Ardley Island and Barton Peninsula revealed a general, seesaw-like relationship between a penguin colony and tundra vegetation and several basic occupation patterns. This method and the results may provide new and valuable information about the history of penguin-colony occupation and the paleoenvironment in the maritime Antarctic.</t>
  </si>
  <si>
    <t>Univ Sci &amp; Technol China, Inst Polar Environm, Hefei 230026, Peoples R China</t>
  </si>
  <si>
    <t>Chinese Academy of Sciences; University of Science &amp; Technology of China, CAS</t>
  </si>
  <si>
    <t>Univ Sci &amp; Technol China, Inst Polar Environm, Hefei 230026, Peoples R China.</t>
  </si>
  <si>
    <t>slg@ustc.edu.cn</t>
  </si>
  <si>
    <t>xie, zhouqing/P-9661-2019</t>
  </si>
  <si>
    <t>10.1007/s00300-004-0635-z</t>
  </si>
  <si>
    <t>WOS:000224752200004</t>
  </si>
  <si>
    <t>Ryan, KG; Ralph, P; McMinn, A</t>
  </si>
  <si>
    <t>Acclimation of Antarctic bottom-ice algal communities to lowered salinities during melting</t>
  </si>
  <si>
    <t>PHOTOSYNTHESIS-IRRADIANCE RELATIONSHIPS; SEA-ICE; CHLOROPHYLL FLUORESCENCE; QUANTUM YIELD; IN-SITU; PHYTOPLANKTON; PHOTOINHIBITION; MICROALGAE; GROWTH; POPULATIONS</t>
  </si>
  <si>
    <t>Sea-ice brine algal communities were exposed to salinities between 30 and 10parts per thousand during melting. There was a progressive decline in maximum quantum yield, relative electron transfer rate (rETR(max)) and photosynthetic efficiency (alpha) with decreasing salinity of the final melted sample. While all species showed a drop in these parameters, Fragilariopsis curta and Entomoneis kjellmannii showed the least inhibition. There was a steady increase in rETR(max) and alpha over 5 days after melting, especially in the samples melted into the highest salinities. In addition, the samples melted from the ice without added filtered seawater showed no photosynthetic activity after 2 days. Our results suggest that for experimental work using sea-ice microalgae, the final salinity of the melted sample should be greater than 28parts per thousand (i.e. the ratio of sea ice to filtered seawater should be at least 1:2).</t>
  </si>
  <si>
    <t>Victoria Univ Wellington, Sch Biol Sci, Wellington, New Zealand; Univ Technol Sydney, Inst Water &amp; Environm Resource Management, Dept Environm Sci, Sydney, NSW 2007, Australia; Univ Tasmania, Inst Antarctic &amp; So Ocean Studies, Hobart, Tas 7001, Australia</t>
  </si>
  <si>
    <t>Victoria University Wellington; University of Technology Sydney; University of Tasmania</t>
  </si>
  <si>
    <t>Ryan, KG (corresponding author), Victoria Univ Wellington, Sch Biol Sci, POB 600, Wellington, New Zealand.</t>
  </si>
  <si>
    <t>ken.ryan@vuw.ac.nz</t>
  </si>
  <si>
    <t>Ralph, Peter/L-1527-2019; Ryan, Ken/F-5652-2013; McMinn, Andrew/A-9910-2008</t>
  </si>
  <si>
    <t>Ralph, Peter/0000-0002-3103-7346; Ryan, Ken/0000-0001-7075-0112</t>
  </si>
  <si>
    <t>10.1007/s00300-004-0636-y</t>
  </si>
  <si>
    <t>WOS:000224752200005</t>
  </si>
  <si>
    <t>Skotnicki, ML; Mackenzie, AM; Ninham, JA; Selkirk, PM</t>
  </si>
  <si>
    <t>High levels of genetic variability in the moss Ceratodon purpureus from continental Antarctica, subantarctic Heard and Macquarie Islands, and Australasia</t>
  </si>
  <si>
    <t>SOUTHERN VICTORIA LAND; CRYPTIC SPECIATION; DISPERSAL; DIVERSITY; PHYLOGEOGRAPHY; POPULATIONS; PLANTS</t>
  </si>
  <si>
    <t>The random amplified polymorphic DNA (RAPD) technique, and DNA sequencing of the conserved nuclear ribosomal DNA internal transcribed spacer region (ITS1-5.8S-ITS2), have been used to assess levels of genetic diversity in the moss Ceratodon purpureus from several locations in Australasia, subantarctic Heard and Macquarie Islands, and continental Antarctica. Populations from Heard and Macquarie Islands and from Antarctica maintain high levels of genetic variation. Both within- and among-colony variation were observed at these locations. DNA sequence analysis showed that samples from the Ross Sea region of Antarctica were most closely related to colonies from Casey and Macquarie Island, and that one colony from Heard Island was most closely related to one from Europe. DNA sequence data separated two Australian populations from the Antarctic and subantarctic group on a dendrogram. Detailed RAPD analysis of a single colony from continental Antarctica demonstrated that mutation probably causes the high variability observed in this moss. DNA sequencing and RAPD analysis are complementary techniques for genetic investigation of Antarctic moss populations.</t>
  </si>
  <si>
    <t>Australian Natl Univ, Res Sch Biol Sci, Genom Interact Grp, Inst Adv Studies, Canberra, ACT 2601, Australia; Macquarie Univ, Dept Biol Sci, Sydney, NSW 2109, Australia</t>
  </si>
  <si>
    <t>Australian National University; Macquarie University</t>
  </si>
  <si>
    <t>Skotnicki, ML (corresponding author), Australian Natl Univ, Res Sch Biol Sci, Genom Interact Grp, Inst Adv Studies, POB 475, Canberra, ACT 2601, Australia.</t>
  </si>
  <si>
    <t>skotnicki@rsbs.anu.edu.au</t>
  </si>
  <si>
    <t>10.1007/s00300-004-0640-2</t>
  </si>
  <si>
    <t>WOS:000224752200006</t>
  </si>
  <si>
    <t>Holm-Hansen, O; Hewes, CD</t>
  </si>
  <si>
    <t>Deep chlorophyll-a maxima (DCMs) in Antarctic waters -: I.: Relationships between DCMs and the physical, chemical, and optical conditions in the upper water column</t>
  </si>
  <si>
    <t>NATURAL FLUORESCENCE; ELEPHANT-ISLAND; PHYTOPLANKTON GROWTH; IRON; VARIABILITY; NUTRIENTS; OCEAN; PHOTOSYNTHESIS; BRANSFIELD</t>
  </si>
  <si>
    <t>The US Antarctic Marine Living Resources (AMLR) program has, since 1990, conducted annual surveys from early January through mid-March in a large sampling grid around Elephant Island, Antarctica. Approximately 100 hydrographic stations were occupied twice during each field season, with physical, chemical, optical, and biological data acquired from the surface to 750 m depth or to within 10 m of the bottom at shallower stations. During these 14 years, most of the stations in pelagic waters to the northwest of Elephant Island had very low chlorophyll-a (Chl-a) concentrations (&lt;0.2 mg m(-3) stop) in the upper mixed layer (UML) of -45 m, but a deep chlorophyll-a maximum (DCM) existed between 50 and 100 m, with a peak at approximately 75 m. This was in contrast to adjacent stations which had higher Chl-a concentrations (approximately 1.0 mg m(-3)) in the UML and no DCM. We provide evidence that the higher Chl-a concentrations that occur at depths of 50-100 m result from increased photosynthetic activity and not from a passive sinking of cells from the UML or by the intrusion of Chl-a rich coastal waters. Data to support this conclusion include (1) elevated dissolved oxygen concentrations between 50 and 100 m, (2) evidence of active photosynthesis at the depth of the DCM as indicated by increased natural upwelling radiation at 683 nm, and (3) water samples obtained from the DCM at 75 m and incubated under simulated conditions of temperature and light had assimilation numbers of approximately 1.0-1.5 mg carbon fixed per milligram Chl-a per hour. DCMs occur in the same depth range as the temperature minimum layer (TML) (the winter remnant of Antarctic surface water, AASW), which is known to have elevated concentrations of inorganic nutrients essential for growth of phytoplankton. Our data indicate that a DCM develops as a result of (1) depletion of iron (Fe) in the UML with the onset of the summer season, and (2) growth of phytoplankton in the TML where both Fe concentrations and solar irradiance levels are high enough to permit an increase of phytoplankton biomass.</t>
  </si>
  <si>
    <t>Univ Calif San Diego, Scripps Inst Oceanog, Div Marine Biol Res, La Jolla, CA 92093 USA</t>
  </si>
  <si>
    <t>University of California System; University of California San Diego; Scripps Institution of Oceanography</t>
  </si>
  <si>
    <t>Univ Calif San Diego, Scripps Inst Oceanog, Div Marine Biol Res, La Jolla, CA 92093 USA.</t>
  </si>
  <si>
    <t>oholmhansen@ucsd.edu</t>
  </si>
  <si>
    <t>10.1007/s00300-004-0641-1</t>
  </si>
  <si>
    <t>WOS:000224752200007</t>
  </si>
  <si>
    <t>Murray, C; Jabour, J</t>
  </si>
  <si>
    <t>Independent expeditions and Antarctic tourism policy</t>
  </si>
  <si>
    <t>POLAR RECORD</t>
  </si>
  <si>
    <t>Discussions about the management of non-governmental activities in Antarctica have been handicapped by a lack of clarity in terminology. The term 'tourism,' for example, is used in a catch-all manner to describe activities as widely divergent and incommensurable as overflights by commercial jetliners and solo ski traverses of the ice cap. Recent debate about stricter regulation of independent expeditions has been similarly confused. This paper examines these definitional hurdles and offers a broad categorization of activities in Antarctica. An overview of recent independent expeditions is then given and issues are discussed. It is suggested that, to date, the terms of the debate have been set by the most powerful vested interests in Antarctica and that the discussion itself has been polarized. The paper does not prescribe policy but indicates alternative points of view and argues that the strict regulatory approach increasingly favoured by some national programs is out of all proportion to the size of potential problems and could diminish traditions of cooperation, non-proprietorship, and the adventurous spirit, which have uniquely characterized human endeavour in Antarctica.</t>
  </si>
  <si>
    <t>Univ Tasmania, Antarct Climate &amp; Ecosyst CRC, Hobart, Tas 7001, Australia; Univ Tasmania, Inst Antarct &amp; So Ocean Studies, Hobart, Tas 7001, Australia</t>
  </si>
  <si>
    <t>Murray, C (corresponding author), Univ Tasmania, Antarct Climate &amp; Ecosyst CRC, Private Bag 80, Hobart, Tas 7001, Australia.</t>
  </si>
  <si>
    <t>Jabour, Julia A/J-7882-2014</t>
  </si>
  <si>
    <t>0032-2474</t>
  </si>
  <si>
    <t>POLAR REC</t>
  </si>
  <si>
    <t>POLAR REC.</t>
  </si>
  <si>
    <t>10.1017/S0032247404003791</t>
  </si>
  <si>
    <t>930YU</t>
  </si>
  <si>
    <t>WOS:000229453800003</t>
  </si>
  <si>
    <t>Pfeiffer, S; Peter, HU</t>
  </si>
  <si>
    <t>Ecological studies toward the management of an Antarctic tourist landing site (Penguin Island, South Shetland Islands)</t>
  </si>
  <si>
    <t>BREEDING SUCCESS; HUMAN DISTURBANCE; ADELIE PENGUINS; HEART-RATE; RESPONSES; BEHAVIOR; COLONY</t>
  </si>
  <si>
    <t>Increasing tourism in the Antarctic Peninsula region concerns scientists, policy-makers, and tourist companies with its potential negative effects on wildlife. Site-specific ecological studies have been initiated to examine differences in population dynamics and distribution of animals as well as their behavioural and physiological reactions to humans. Penguin Island (southeast of King George Island, South Shetland Islands, Antarctica) is frequently visited by tourists due to its high species diversity and aesthetic value. In two seasons, the authors conducted a bird census and studied behaviour and heart-rate changes of southern giant petrels and skuas relating to tourist visits on Penguin Island. Management recommendations are given, based on the study results. The protection of southern giant petrels should be increased by having a minimum distance of 50 m for all visitors. The eastern, southern, and western parts of the island should not be visited and should serve as refuge areas. The wildlife experience for tourists can still be enjoyed by concentrating visits to the northern and central part of Penguin Island. Use of a specific path to localise impacts in a prescribed area is recommended.</t>
  </si>
  <si>
    <t>Univ Jena, Inst Ecol, Polar &amp; Bird Ecol Grp, D-07743 Jena, Germany</t>
  </si>
  <si>
    <t>Friedrich Schiller University of Jena</t>
  </si>
  <si>
    <t>Pfeiffer, S (corresponding author), Univ Jena, Inst Ecol, Polar &amp; Bird Ecol Grp, Dornburger Str 159, D-07743 Jena, Germany.</t>
  </si>
  <si>
    <t>10.1017/S0032247404003845</t>
  </si>
  <si>
    <t>WOS:000229453800006</t>
  </si>
  <si>
    <t>Verde, C; Howes, BD; De Rosa, MC; Raiola, L; Smulevich, G; Williams, R; Giardina, B; Parisi, E; Di Prisco, G</t>
  </si>
  <si>
    <t>Structure and function of the Gondwanian hemoglobin of Pseudaphritis urvillii, a primitive notothenioid fish of temperate latitudes</t>
  </si>
  <si>
    <t>PROTEIN SCIENCE</t>
  </si>
  <si>
    <t>Antarctica; fish; Pseudaphritis urvillii; hemoglobin; Bohr/Root effects; evolution; electronic absorption spectroscopy; Resonance Raman spectroscopy; molecular modeling</t>
  </si>
  <si>
    <t>RESONANCE RAMAN-SPECTRA; ANTARCTIC FISH; CRYSTAL-STRUCTURE; HEME-PROTEINS; PAGOTHENIA-BERNACCHII; MOLECULAR EVOLUTION; GLOBIN STRUCTURE; OXYGEN BINDING; STATE; METHEMOGLOBIN</t>
  </si>
  <si>
    <t>The suborder Notothenioidei dominates the Antarctic ichthyofauna. The non-Antarctic monotypic family Pseudaphritidae is one of the most primitive families. The characterization of the oxygen-transport system of euryhaline Pseudaphritis urvillii is herewith reported. Similar to most Antarctic notothenicids, this temperate species has a single major hemoglobin (Hb 1, over 95% of the total). Hb 1 has strong Bohr and Root effects. It shows two very uncommon features in oxygen binding: At high pH values, the oxygen affinity is exceptionally high compared to other notothenioids, and subunit cooperativity is modulated by pH in an unusual way, namely the curve of the Hill coefficient is bell-shaped, with values approaching 1 at both extremes of pH. Molecular modeling, electronic absorption and resonance Raman spectra have been used to characterize the heme environment of Hb 1 in an attempt to explain these features, particularly in view of some potentially important nonconservative replacements found in the primary structure. Compared to human HbA, no major changes were found in the structure of the proximal cavity of the alpha-chain of Hb 1, although an altered distal histidyl and heme position was identified in the models of the beta-chain, possibly facilitated by a more open heme pocket due to reduced steric constraints on the vinyl substituent groups. This conformation may lead to the hemichrome form identified by spectroscopy in the Met state, which likely fulfils a potentially important physiological role.</t>
  </si>
  <si>
    <t>CNR, IBP, I-80125 Naples, Italy; Univ Florence, Dept Chem, I-50019 Florence, Italy; Univ Cattolica Sacro Cuore, CNR, Inst Chem &amp; Mol Recognit, I-00168 Rome, Italy; Univ Cattolica Sacro Cuore, Inst Biochem &amp; Clin Biochem, I-00168 Rome, Italy; Australian Antarctic Div, Kingston, Tas 7050, Australia</t>
  </si>
  <si>
    <t>Consiglio Nazionale delle Ricerche (CNR); Istituto di Biochimica delle Proteine (IBP-CNR); University of Florence; Consiglio Nazionale delle Ricerche (CNR); Istituto di Chimica del Riconoscimento Molecolare (ICRM-CNR); Catholic University of the Sacred Heart; IRCCS Policlinico Gemelli; Catholic University of the Sacred Heart; IRCCS Policlinico Gemelli; Australian Antarctic Division</t>
  </si>
  <si>
    <t>Di Prisco, G (corresponding author), CNR, IBP, Via Marconi 12, I-80125 Naples, Italy.</t>
  </si>
  <si>
    <t>g.diprisco@ibp.cnr.it</t>
  </si>
  <si>
    <t>De Rosa, Maria Cristina/K-3814-2014; smulevich, giulietta/A-6510-2008</t>
  </si>
  <si>
    <t>De Rosa, Maria Cristina/0000-0002-9611-2490; Smulevich, Giulietta/0000-0003-3021-8919; VERDE, Cinzia/0000-0001-6185-282X</t>
  </si>
  <si>
    <t>COMMERCE PLACE, 350 MAIN ST, MALDEN 02148, MA USA</t>
  </si>
  <si>
    <t>0961-8368</t>
  </si>
  <si>
    <t>PROTEIN SCI</t>
  </si>
  <si>
    <t>Protein Sci.</t>
  </si>
  <si>
    <t>10.1110/ps.04861504</t>
  </si>
  <si>
    <t>855XH</t>
  </si>
  <si>
    <t>WOS:000224007700021</t>
  </si>
  <si>
    <t>Tuck, AF; Hovde, SJ; Bui, TP</t>
  </si>
  <si>
    <t>Scale invariance in jet streams: ER-2 data around the lower-stratospheric polar night vortex</t>
  </si>
  <si>
    <t>QUARTERLY JOURNAL OF THE ROYAL METEOROLOGICAL SOCIETY</t>
  </si>
  <si>
    <t>aircraft winds; multifractal</t>
  </si>
  <si>
    <t>ANTARCTIC OZONE EXPERIMENT; HEMISPHERE LOWER STRATOSPHERE; NITROUS-OXIDE; AIRCRAFT OBSERVATIONS; WINTER; DYNAMICS; MODEL; EDGE</t>
  </si>
  <si>
    <t>High altitude ER-2 aircraft observations in both hemispheres of the lower-stratospheric polar night jet stream reveal generalized scale invariance. The scaling exponent has systematic correlation with wind shear and temperature gradient showing across-jet persistence, along-jet anti-persistence, and an overall average value approximate to5/9. The analysis provides a natural connection between generalized scale invariance and traditional large-scale dynamical meteorology. For one mission in the southern hemisphere composite variograms could be constructed for nitrous oxide and ozone, from which it was deduced that the former is a true passive scalar in the lower stratosphere, while sources and sinks are operative for the latter.</t>
  </si>
  <si>
    <t>NOAA, Aeron Lab, Boulder, CO 80305 USA; Univ Colorado, CIRES, Boulder, CO 80309 USA; NASA, Ames Res Ctr, Moffett Field, CA 94035 USA</t>
  </si>
  <si>
    <t>National Oceanic Atmospheric Admin (NOAA) - USA; University of Colorado System; University of Colorado Boulder; National Aeronautics &amp; Space Administration (NASA); NASA Ames Research Center</t>
  </si>
  <si>
    <t>NOAA, Aeron Lab, 325 Broadway, Boulder, CO 80305 USA.</t>
  </si>
  <si>
    <t>adrian.f.tuck@noaa.gov</t>
  </si>
  <si>
    <t>Tuck, Adrian/F-6024-2011</t>
  </si>
  <si>
    <t>Tuck, Adrian/0000-0002-2074-0538</t>
  </si>
  <si>
    <t>0035-9009</t>
  </si>
  <si>
    <t>1477-870X</t>
  </si>
  <si>
    <t>Q J ROY METEOR SOC</t>
  </si>
  <si>
    <t>Q. J. R. Meteorol. Soc.</t>
  </si>
  <si>
    <t>A</t>
  </si>
  <si>
    <t>10.1256/qj.03.191</t>
  </si>
  <si>
    <t>868UI</t>
  </si>
  <si>
    <t>WOS:000224938100006</t>
  </si>
  <si>
    <t>Severinghaus, JP; Jouzel, J; Caillon, N; Stocker, T</t>
  </si>
  <si>
    <t>Comment on Greenland-Antarctic phase relations and millennial time-scale climate fluctuations in the Greenland ice-cores by C. Wunsch</t>
  </si>
  <si>
    <t>QUATERNARY SCIENCE REVIEWS</t>
  </si>
  <si>
    <t>Letter</t>
  </si>
  <si>
    <t>ATMOSPHERIC METHANE; TRAPPED AIR; POLAR; END</t>
  </si>
  <si>
    <t>Univ Calif San Diego, Scripps Inst Oceanog, La Jolla, CA 92093 USA; CEA Saclay, Lab Sci Climat &amp; Environm, F-91191 Gif Sur Yvette, France; Univ Bern, Phys Inst, CH-3012 Bern, Switzerland</t>
  </si>
  <si>
    <t>University of California System; University of California San Diego; Scripps Institution of Oceanography; Universite Paris Saclay; CEA; Centre National de la Recherche Scientifique (CNRS); University of Bern</t>
  </si>
  <si>
    <t>Univ Calif San Diego, Scripps Inst Oceanog, La Jolla, CA 92093 USA.</t>
  </si>
  <si>
    <t>jseveringhaus@ucsd.edu; jouzel@lsce.saclay.cea.fr; caillon@lsce.cnrs-gif.fr; stocker@climate.unibe.ch</t>
  </si>
  <si>
    <t>Stocker, Thomas F/B-1273-2013; Caillon, Nicolas/B-7127-2019; Leuenberger, Markus Christian/K-9655-2016</t>
  </si>
  <si>
    <t>Huber, Christof/0000-0001-5767-045X; Caillon, Nicolas/0000-0002-6318-6194; Leuenberger, Markus Christian/0000-0003-4299-6793</t>
  </si>
  <si>
    <t>0277-3791</t>
  </si>
  <si>
    <t>QUATERNARY SCI REV</t>
  </si>
  <si>
    <t>Quat. Sci. Rev.</t>
  </si>
  <si>
    <t>18-19</t>
  </si>
  <si>
    <t>10.1016/j.quascirev.2004.05.002</t>
  </si>
  <si>
    <t>854ME</t>
  </si>
  <si>
    <t>WOS:000223906400014</t>
  </si>
  <si>
    <t>Wunsch, C</t>
  </si>
  <si>
    <t>Comment on Greenland-Antarctic phase relations and millennial time-scale climate fluctuations in the Greenland ice-cores by C. Wunsch - Response to J.P. Severinghaus et al.</t>
  </si>
  <si>
    <t>POLAR ICE; END</t>
  </si>
  <si>
    <t>MIT, Dept Earth Atmospher &amp; Planetary Sci, Program Atmospheres Oceans &amp; Climate, Cambridge, MA 02139 USA</t>
  </si>
  <si>
    <t>Massachusetts Institute of Technology (MIT)</t>
  </si>
  <si>
    <t>Wunsch, C (corresponding author), MIT, Dept Earth Atmospher &amp; Planetary Sci, Program Atmospheres Oceans &amp; Climate, 54-1520,77 Massachusetts Ave, Cambridge, MA 02139 USA.</t>
  </si>
  <si>
    <t>cwunsch@mit.edu</t>
  </si>
  <si>
    <t>10.1016/j.quascirev.2004.05.003</t>
  </si>
  <si>
    <t>WOS:000223906400015</t>
  </si>
  <si>
    <t>Dowdeswell, JA; Evans, S</t>
  </si>
  <si>
    <t>Investigations of the form and flow of ice sheets and glaciers using radio-echo sounding</t>
  </si>
  <si>
    <t>REPORTS ON PROGRESS IN PHYSICS</t>
  </si>
  <si>
    <t>ANTARCTIC SUBGLACIAL LAKES; BLACK RAPIDS GLACIER; SHORT-PULSE RADAR; FRESH-WATER ICE; DIELECTRIC-PROPERTIES; WEST ANTARCTICA; HIGH-RESOLUTION; POLAR ICE; STREAM-C; DOME C</t>
  </si>
  <si>
    <t>Radio-echo sounding (RES), utilizing a variety of radio frequencies, was developed to allow glaciologists to measure the thickness of ice sheets and glaciers. We review the nature of electromagnetic wave propagation in ice and snow, including the permittivity of ice, signal attenuation and volume scattering, along with reflection from rough and specular surfaces. The variety of instruments used in RES of polar ice sheets and temperate glaciers is discussed. The applications and insights that a knowledge of ice thickness, and the wider nature of the form and flow of ice sheets, provides are also considered. The thickest ice measured is 4.7 km in East Antarctica. The morphology of the Antarctic and Greenland ice sheets, and many of the smaller ice caps and glaciers of the polar regions, has been investigated using RES. These findings are being used in three-dimensional numerical models of the response of the cryosphere to environmental change. In addition, the distribution and character of internal and basal reflectors within ice sheets contains information on, for example, ice-sheet layering and its chrono-stratigraphic significance, and has enabled the discovery and investigation of large lakes beneath the Antarctic Ice Sheet. Today, RES from ground-based and airborne platforms remains the most effective tool for measuring ice thickness and internal character.</t>
  </si>
  <si>
    <t>Univ Cambridge, Scott Polar Res Inst, Cambridge CB2 1ER, England.</t>
  </si>
  <si>
    <t>Dowdeswell, Julian/0000-0003-1369-9482</t>
  </si>
  <si>
    <t>0034-4885</t>
  </si>
  <si>
    <t>1361-6633</t>
  </si>
  <si>
    <t>REP PROG PHYS</t>
  </si>
  <si>
    <t>Rep. Prog. Phys.</t>
  </si>
  <si>
    <t>PII S0034-4885(04)79235-0</t>
  </si>
  <si>
    <t>10.1088/0034-4885/67/10/R03</t>
  </si>
  <si>
    <t>868HK</t>
  </si>
  <si>
    <t>WOS:000224904500003</t>
  </si>
  <si>
    <t>Markhaseva, EL; Dahms, HU</t>
  </si>
  <si>
    <t>Plesioscolecithrix (Copepoda, Calanoida, Scolecitrichidae):: a new genus, and a new species from the high Antarctic Weddell Sea (Southern Ocean)</t>
  </si>
  <si>
    <t>SARSIA</t>
  </si>
  <si>
    <t>Calanoida; plesioscolecithrix; Weddell Sea; benthopelagic; sensory setae</t>
  </si>
  <si>
    <t>BENTHOPELAGIC WATERS; NEOSCOLECITHRIX CANU; TROPICAL PACIFIC; CRUSTACEA</t>
  </si>
  <si>
    <t>Both sexes of Plesioscolecithrix juhlae gen. et sp. nov. are described from the Weddell Sea shelf, Antarctic, in near-bottom water layers from 167 to 254 m. The new genus has segmentation and setation of the swimming legs P1-P4 typical of the Clausocalanoidea. With the group of clausocalanoidean families Diaixidae Sars, 1902, Parkiidae Ferrari &amp; Markhaseva, 1996, Phaennidae Sars, 1902, Tharybidae Sars, 1902 and Scolecitrichidae Giesbrecht, 1892 it shares the possession of sensory setae both on the maxilla exopod and on the syncoxa of the maxilliped. The genus is hypothesized to be one of the most primitive among the family Scolecitrichidae and deviations from the usual scolecitrichid morphology are discussed. Its family placement is tentative because of many significant morphological deviations from the scolecitrichid type. The main generic characters distinguishing the new genus from other scolecitrichids are as follows: the number (four) and morphology of thin brush-like sensory setae with very small brushes at the exopod of the maxilla; the simple structure of the male fifth legs (with almost symmetrical coxo- and basipods in both legs); well-developed oral parts in males; the absence of the female fifth legs.</t>
  </si>
  <si>
    <t>Russian Acad Sci, Inst Zool, St Petersburg 199034, Russia; HKUST, Dept Biol, Coastal Marine Lab, Kowloon, Hong Kong, Peoples R China</t>
  </si>
  <si>
    <t>Russian Academy of Sciences; Zoological Institute of the Russian Academy of Sciences; Hong Kong University of Science &amp; Technology</t>
  </si>
  <si>
    <t>Markhaseva, EL (corresponding author), Russian Acad Sci, Inst Zool, Universitetskaya Nab 1, St Petersburg 199034, Russia.</t>
  </si>
  <si>
    <t>copeoda@zin.ru; hansd@ust.hk</t>
  </si>
  <si>
    <t>Markhaseva, Elena L/R-1832-2017</t>
  </si>
  <si>
    <t>TAYLOR &amp; FRANCIS AS</t>
  </si>
  <si>
    <t>OSLO</t>
  </si>
  <si>
    <t>KARL JOHANS GATE 5, NO-0154 OSLO, NORWAY</t>
  </si>
  <si>
    <t>0036-4827</t>
  </si>
  <si>
    <t>Sarsia</t>
  </si>
  <si>
    <t>OCT 1</t>
  </si>
  <si>
    <t>10.1080/00364820410002596</t>
  </si>
  <si>
    <t>867SF</t>
  </si>
  <si>
    <t>WOS:000224861800004</t>
  </si>
  <si>
    <t>Lukianova, R; Alekseev, G</t>
  </si>
  <si>
    <t>Long-term correlation between the NAO and solar activity</t>
  </si>
  <si>
    <t>SOLAR PHYSICS</t>
  </si>
  <si>
    <t>1st International Symposium on Space Climate</t>
  </si>
  <si>
    <t>JUN 20-23, 2004</t>
  </si>
  <si>
    <t>Oulu, FINLAND</t>
  </si>
  <si>
    <t>NORTH-ATLANTIC OSCILLATION; GEOMAGNETIC-ACTIVITY; MODULATION; FIELD</t>
  </si>
  <si>
    <t>We extend the correlation analysis of solar signals and the North Atlantic Oscillation (NAO) back in time by using the aa index (since 1868) and the PC index (since 1948) as a proxy of the solar wind energy imparted to the magnetosphere. Prior to the 1940s the records of the NAO and the aa index were not closely connected, while after the 1940s their rhythms matched. We compare two distinctive periods with recent results on the long-scale reconstruction of solar activity. The shift in the NAO-aa interconnection can provide the explanation of a significant increase of solar activity after the 1940s. A strengthening of the interplanetary magnetic field leads to more intensive variations of the high-latitude ionospheric electric field that influences the atmospheric circulation.</t>
  </si>
  <si>
    <t>St Petersburg State Univ, Dept Phys, St Petersburg 199034, Russia; Arctic &amp; Antarctic Res Inst, Dept Air Sea Interact, St Petersburg 199226, Russia</t>
  </si>
  <si>
    <t>Saint Petersburg State University; Arctic &amp; Antarctic Research Institute</t>
  </si>
  <si>
    <t>St Petersburg State Univ, Dept Phys, St Petersburg 199034, Russia.</t>
  </si>
  <si>
    <t>renata@mail.aari.nw.ru</t>
  </si>
  <si>
    <t>Lukianova, Renata/K-3293-2012</t>
  </si>
  <si>
    <t>Lukianova, Renata/0000-0003-2343-9174</t>
  </si>
  <si>
    <t>0038-0938</t>
  </si>
  <si>
    <t>1573-093X</t>
  </si>
  <si>
    <t>SOL PHYS</t>
  </si>
  <si>
    <t>Sol. Phys.</t>
  </si>
  <si>
    <t>10.1007/s11207-005-4974-x</t>
  </si>
  <si>
    <t>922PF</t>
  </si>
  <si>
    <t>WOS:000228849200044</t>
  </si>
  <si>
    <t>Russell, A; McGregor, GR; Marshall, GJ</t>
  </si>
  <si>
    <t>An examination of the precipitation delivery mechanisms for Dolleman Island, eastern Antarctic Peninsula</t>
  </si>
  <si>
    <t>TELLUS SERIES A-DYNAMIC METEOROLOGY AND OCEANOGRAPHY</t>
  </si>
  <si>
    <t>NINO-SOUTHERN OSCILLATION; DRONNING MAUD LAND; LARSEN ICE SHELF; SURFACE CLIMATE; MOISTURE SOURCE; ECMWF ANALYSES; VARIABILITY; SNOW; CORE; ACCUMULATION</t>
  </si>
  <si>
    <t>The variability of size and source of significant precipitation events were studied at an Antarctic ice core drilling site: Dolleman Island (DI). located on the eastern coast of the Antarctic Peninsula. Significant precipitation events that occur at DI were temporally located in the European Centre for Medium-Range Weather Forecasting (ECMWF) reanalysis data set, ERA-40. The annual and summer precipitation totals from ERA-40 at DI both show significant increases over the reanalysis period. Three-dimensional backwards air parcel trajectories were then run for 5 d using the ECMWF ERA-15 wind fields. Cluster analyses were performed on two sets of these backwards trajectories: all days in the range 1979-1992 (the climatological time-scale) and a subset of days when a significant precipitation event occurred. The principal air mass sources and delivery mechanisms were found to be the Weddell Sea via lee cyclogenesis, the South Atlantic when there was a weak circumpolar trough (CPT) and the South Pacific when the CPT was deep. The occurrence of precipitation bearing air masses arriving via a strong CPT was found to have a significant correlation with the southern annular mode (SAM); however, the arrival of air masses from the same region over the climatological time-scale showed no such correlation. Despite the dominance in both groups of back trajectories of the westerly circulation around Antarctica, some other key patterns were identified. Most notably there was a higher frequency Of lee cyclogenesis events in the significant precipitation trajectories compared to the climatological time-scale. There was also a tendency for precipitation trajectories to come from more northerly latitudes, mostly from 50-70degreesS. The El Nino Southern Oscillation (ENSO) was found to have a strong influence on the mechanism by which the precipitation was delivered: the frequency of occurrence of precipitation from the east (west) of DI increased during El Nino (La Nina) events.</t>
  </si>
  <si>
    <t>Univ Birmingham, Sch Geog Earth &amp; Environm Sci, Birmingham B15 2TT, W Midlands, England; British Antarctic Survey, NERC, Cambridge CB3 0ET, England</t>
  </si>
  <si>
    <t>University of Birmingham; UK Research &amp; Innovation (UKRI); Natural Environment Research Council (NERC); NERC British Antarctic Survey</t>
  </si>
  <si>
    <t>Univ Birmingham, Sch Geog Earth &amp; Environm Sci, Birmingham B15 2TT, W Midlands, England.</t>
  </si>
  <si>
    <t>axr141@bham.ac.uk</t>
  </si>
  <si>
    <t>Jüngel, Ansgar/I-2720-2014; Juengel, Ansgar/A-5506-2008; Russell, Andrew/B-2260-2008</t>
  </si>
  <si>
    <t>Russell, Andrew/0000-0001-7120-8499; McGregor, Glenn/0000-0001-8487-2081</t>
  </si>
  <si>
    <t>1600-0870</t>
  </si>
  <si>
    <t>TELLUS A</t>
  </si>
  <si>
    <t>Tellus Ser. A-Dyn. Meteorol. Oceanol.</t>
  </si>
  <si>
    <t>10.1111/j.1600-0870.2004.00081.x</t>
  </si>
  <si>
    <t>869CT</t>
  </si>
  <si>
    <t>hybrid, Green Submitted</t>
  </si>
  <si>
    <t>WOS:000224961700007</t>
  </si>
  <si>
    <t>Turpaeva, EP</t>
  </si>
  <si>
    <t>Shallow-water sea spiders (Pycnogonida) from the Kuril, Commander and Yamskii Islands. 3. Nymphonidae. Report 2</t>
  </si>
  <si>
    <t>ZOOLOGICHESKY ZHURNAL</t>
  </si>
  <si>
    <t>Eighteen species of Nymphon were collected from the shelf and slope of the Kuril Islands and at the Yamskii Islands (the northern Sea of Okhotsk). Five of these species with denticulate spines on ovigers with big teeth are endemics of the northwestern Pacific. Among eighteen species, four ones (Nymphon brevirostre,.N. grossipes, N. mixtum, and N. longitarse) are characterized as circumpolar forms. These four species and N. microsetosum and N. diospinum are found only to the north of 43degreesN. Nymphon apertum, N. kodanii, N. bigibbulare, N. brevis, and N. uniunguiculatum inhabit off southern Kuril Islands and were not recorded to the north of 45degreesN. The majority of the species considered are sublittoral forms. N. grossipes, N. mixtum, and N. uniunguiculatum penetrate to the upper horizons of the bathyal zone, whereas N. longitarse, N. quadriclavum biporosum, N. bergi, and N. hodgsoni penetrate to a depth of 1600 m. The data obtained allow one to consider the species with denticulate spines on ovigers with thin plate and small teeth as Atlantic forms. Their ancestors penetrate to the northwestern Pacific through the Arctic. The species with denticulate spines on ovigers with few big teeth are considered to come from Antarctic ancestors, but the pattern of their distribution is unclear up to now.</t>
  </si>
  <si>
    <t>Russian Acad Sci, Inst Oceanol, Moscow 117997, Russia</t>
  </si>
  <si>
    <t>Russian Academy of Sciences</t>
  </si>
  <si>
    <t>Turpaeva, EP (corresponding author), Russian Acad Sci, Inst Oceanol, Moscow 117997, Russia.</t>
  </si>
  <si>
    <t>MEZHDUNARODNAYA KNIGA</t>
  </si>
  <si>
    <t>MOSCOW</t>
  </si>
  <si>
    <t>39 DIMITROVA UL., 113095 MOSCOW, RUSSIA</t>
  </si>
  <si>
    <t>0044-5134</t>
  </si>
  <si>
    <t>ZOOL ZH</t>
  </si>
  <si>
    <t>Zool. Zhurnal</t>
  </si>
  <si>
    <t>872VU</t>
  </si>
  <si>
    <t>WOS:000225238000005</t>
  </si>
  <si>
    <t>Redeker, V; Frankfurter, A; Parker, SK; Rossier, J; Detrich, HW</t>
  </si>
  <si>
    <t>Posttranslational modification of brain tubulins from the antarctic fish Notothenia coriiceps:: Reduced C-terminal glutamylation correlates with efficient microtubule assembly at low temperatures</t>
  </si>
  <si>
    <t>ALPHA-TUBULIN; BETA-TUBULIN; COLD ADAPTATION; POLYGLUTAMYLATION; POLYMERIZATION; HETEROGENEITY; PROTEINS; DYNAMICS; BINDING; DIVERGENCE</t>
  </si>
  <si>
    <t>We have shown previously that the tubulins of Antarctic fish assemble into microtubules efficiently at low temperatures (-2 to +2 degreesC) due to adaptations intrinsic to the tubulin subunits. To determine whether changes in posttranslational glutamylation of the fish tubulins may contribute to cold adaptation of microtubule assembly, we have characterized C-terminal peptides from alpha- and beta-tubulin chains from brains of adult specimens of the Antarctic rockcod Notothenia coriiceps by MALDI-TOF mass spectrometry and by Edman degradation amino acid sequencing. Of the four fish beta-tubulin isotypes, nonglutamylated isoforms were more abundant than glutamylated isoforms. In addition, maximal glutamyl side-chain length was shorter than that observed for mammalian brain beta tubulins. For the nine fish alpha-tubulin isotypes, nonglutamylated isoforms were also generally more abundant than glutamylated isoforms. When glutamylated, however, the maximal side-chain lengths of the fish a tubulins were generally longer than those of adult rat brain alpha chains. Thus, Antarctic fish adult brain tubulins are glutamylated differently than mammalian brain tubulins, resulting in a more heterogeneous population of alpha isoforms and a reduction in the number of beta isoforms. By contrast, neonatal rat brain tubulin possesses low levels of glutamylation that are similar to that of the adult fish brain tubulins. We suggest that unique residue substitutions in the primary structures of Antarctic fish tubulin isotypes and quantitative changes in isoform glutamylation act synergistically to adapt microtubule assembly to low temperatures.</t>
  </si>
  <si>
    <t>Northeastern Univ, Dept Biol, Boston, MA 02115 USA; Univ Virginia, Dept Biol, Charlottesville, VA 22901 USA; Ecole Super Phys &amp; Chim Ind Ville Paris, CNRS, Neurobiol Lab, UMR 7637, F-75005 Paris, France; CNRS, UPR 9063, Lab Enzymol &amp; Biochim Struct, F-91198 Gif Sur Yvette, France</t>
  </si>
  <si>
    <t>Northeastern University; University of Virginia; Universite PSL; Ecole Superieure de Physique et de Chimie Industrielles de la Ville de Paris (ESPCI); Centre National de la Recherche Scientifique (CNRS); Universite Paris Saclay; Centre National de la Recherche Scientifique (CNRS)</t>
  </si>
  <si>
    <t>Northeastern Univ, Dept Biol, 134 Mugar Hall,360 Huntington Ave, Boston, MA 02115 USA.</t>
  </si>
  <si>
    <t>iceman@neu.edu</t>
  </si>
  <si>
    <t>Redeker, Virginie/L-8929-2018</t>
  </si>
  <si>
    <t>Redeker, Virginie/0000-0003-2694-8388</t>
  </si>
  <si>
    <t>NINDS NIH HHS [NS21142] Funding Source: Medline</t>
  </si>
  <si>
    <t>NINDS NIH HHS(United States Department of Health &amp; Human ServicesNational Institutes of Health (NIH) - USANIH National Institute of Neurological Disorders &amp; Stroke (NINDS))</t>
  </si>
  <si>
    <t>SEP 28</t>
  </si>
  <si>
    <t>10.1021/bi049070z</t>
  </si>
  <si>
    <t>856GE</t>
  </si>
  <si>
    <t>WOS:000224032900034</t>
  </si>
  <si>
    <t>Shindell, DT; Schmidt, GA</t>
  </si>
  <si>
    <t>Southern Hemisphere climate response to ozone changes and greenhouse gas increases</t>
  </si>
  <si>
    <t>ANTARCTIC OSCILLATION; EXTRATROPICAL CIRCULATION; SURFACE-TEMPERATURE; SIMULATIONS; VARIABILITY; TRENDS; MODES; ICE</t>
  </si>
  <si>
    <t>While most of the Earth warmed rapidly during recent decades, surface temperatures decreased significantly over most of Antarctica. This cooling is consistent with circulation changes associated with a shift in the Southern Annular Mode (SAM). It has been suggested that both Antarctic ozone depletion and increasing greenhouses gases have contributed to these trends. We show that a climate model including the stratosphere and both composition changes reproduces the vertical structure and seasonality of observed trends. We find that the two factors have had comparable surface impacts over recent decades, though ozone dominates above the middle troposphere. Projected impacts of the two factors on circulation over the next fifty years oppose one another, resulting in minimal trends. In contrast, their effects on surface climate reinforce one another, causing a departure from the SAM pattern and a turnabout in Antarctic temperatures, which rise more rapidly than elsewhere in the Southern Hemisphere.</t>
  </si>
  <si>
    <t>NASA, Goddard Inst Space Studies, New York, NY 10025 USA</t>
  </si>
  <si>
    <t>National Aeronautics &amp; Space Administration (NASA); NASA Goddard Space Flight Center; Goddard Institute for Space Studies</t>
  </si>
  <si>
    <t>NASA, Goddard Inst Space Studies, 2880 Broadway, New York, NY 10025 USA.</t>
  </si>
  <si>
    <t>dshindell@giss.nasa.gov</t>
  </si>
  <si>
    <t>Shindell, Drew/D-4636-2012; Schmidt, Gavin/D-4427-2012</t>
  </si>
  <si>
    <t>Shindell, Drew/0000-0003-1552-4715; Shindell, Drew/0000-0001-9925-8500; Schmidt, Gavin/0000-0002-2258-0486</t>
  </si>
  <si>
    <t>SEP 25</t>
  </si>
  <si>
    <t>L18209</t>
  </si>
  <si>
    <t>10.1029/2004GL020724</t>
  </si>
  <si>
    <t>857OD</t>
  </si>
  <si>
    <t>WOS:000224126200003</t>
  </si>
  <si>
    <t>Stajner, I; Wargan, K</t>
  </si>
  <si>
    <t>Antarctic stratospheric ozone from the assimilation of occultation data</t>
  </si>
  <si>
    <t>POAM-III; MODEL; VALIDATION; TRANSPORT; VORTEX</t>
  </si>
  <si>
    <t>Ozone data from the solar occultation Polar Ozone and Aerosol Measurement (POAM) III instrument are included in the ozone assimilation system at NASA's Global Modeling and Assimilation Office, which uses Solar Backscatter UltraViolet/2 (SBUV/2) instrument data. Even though POAM data are available at only one latitude in the southern hemisphere on each day, their assimilation leads to more realistic ozone distribution throughout the Antarctic region, especially inside the polar vortex. Impacts of POAM data were evaluated by individual and statistical comparisons of assimilated ozone profiles with independent ozone sondes. Major improvements in ozone representation are seen in the Antarctic lower stratosphere during austral winter and spring in 1998. Limitations of assimilation of sparse occultation data are illustrated by an example.</t>
  </si>
  <si>
    <t>NASA, Global Modeling &amp; Assimilat Off, Greenbelt, MD 20771 USA; Sci Applicat Int Corp, Beltsville, MD USA</t>
  </si>
  <si>
    <t>National Aeronautics &amp; Space Administration (NASA); Science Applications International Corporation (SAIC)</t>
  </si>
  <si>
    <t>NASA, Global Modeling &amp; Assimilat Off, Code 900-3, Greenbelt, MD 20771 USA.</t>
  </si>
  <si>
    <t>ivanka@gmao.gsfc.nasa.gov</t>
  </si>
  <si>
    <t>Stajner, Ivanka/B-5228-2009</t>
  </si>
  <si>
    <t>Stajner, Ivanka/0000-0001-6103-3939; Wargan, Krzysztof/0000-0002-3795-2983</t>
  </si>
  <si>
    <t>SEP 24</t>
  </si>
  <si>
    <t>L18108</t>
  </si>
  <si>
    <t>10.1029/2004GL020846</t>
  </si>
  <si>
    <t>857OC</t>
  </si>
  <si>
    <t>WOS:000224126100005</t>
  </si>
  <si>
    <t>Meredith, MP; Renfrew, IA; Clarke, A; King, JC; Brandon, MA</t>
  </si>
  <si>
    <t>Impact of the 1997/98 ENSO on upper ocean characteristics in Marguerite Bay, western Antarctic Peninsula</t>
  </si>
  <si>
    <t>Antarctic Peninsula; ENSO</t>
  </si>
  <si>
    <t>SEA-ICE; CONTINENTAL-SHELF; CIRCUMPOLAR WAVE; WEDDELL SEA; CIRCULATION; CLIMATE; WATER; VARIABILITY; WIND; HEAT</t>
  </si>
  <si>
    <t>[ 1] A year-round sequence of hydrographic casts is used to trace the evolution of the upper ocean waters in Marguerite Bay, western Antarctic Peninsula (wAP), between 1998 and 2002. Winter 1998 was anomalous, showing an unusually deep mixed layer that became progressively more saline until spring, reaching salinities as high as 34.0. The remnant of this mixed layer ( the Winter Water, WW) was the deepest and most saline observed. Atmospheric and cryospheric conditions were anomalous during winter 1998 at both local and regional scales. Locally, we observed low sea ice concentrations, high air temperatures, and a high frequency of northerly winds. These are the local manifestations of the strong ENSO event of 1997/1998 that was then rapidly weakening. At the regional scale, this ENSO produced significant anomalies in the sea ice distribution throughout the Amundsen-Bellingshausen Sea area, and a large-scale low-pressure anomaly over the southeast Pacific was seen to be responsible for the warm, northerly winds. We use a coupled mixed-layer/ice production model to investigate the ENSO-driven forcings for the anomalous ocean conditions observed in winter 1998. This reveals that ice production is the main control on upper ocean stratification, and that the deep, saline mixed layer in 1998 was forced by anomalous sea ice conditions on spatial scales larger than purely local. We conclude that the near-coastal hydrography along the Peninsula shows a profound response to ENSO, with atmospheric and cryospheric forcings both implicated.</t>
  </si>
  <si>
    <t>Bidston Observ, Proudman Oceanog Lab, Wirral CH43 7RA, Merseyside, England; British Antarctic Survey, Cambridge CB3 0ET, England; Open Univ, Dept Earth Sci, Milton Keynes MK7 6AA, Bucks, England</t>
  </si>
  <si>
    <t>NERC National Oceanography Centre; UK Research &amp; Innovation (UKRI); Natural Environment Research Council (NERC); NERC British Antarctic Survey; Open University - UK</t>
  </si>
  <si>
    <t>Bidston Observ, Proudman Oceanog Lab, Wirral CH43 7RA, Merseyside, England.</t>
  </si>
  <si>
    <t>mmm@pol.ac.uk; i.renfrew@uea.ac.uk; accl@bas.ac.uk; jcki@bas.ac.uk; m.a.brandon@open.ac.uk</t>
  </si>
  <si>
    <t>Brandon, Mark A/A-5804-2010; Renfrew, Ian A/E-4057-2010</t>
  </si>
  <si>
    <t>Brandon, Mark/0000-0002-7779-0958; Meredith, Michael/0000-0002-7342-7756; Renfrew, Ian/0000-0001-9379-8215</t>
  </si>
  <si>
    <t>C9</t>
  </si>
  <si>
    <t>C09013</t>
  </si>
  <si>
    <t>10.1029/2003JC001784</t>
  </si>
  <si>
    <t>857OK</t>
  </si>
  <si>
    <t>WOS:000224127000001</t>
  </si>
  <si>
    <t>Siegert, MJ; Welch, B; Morse, D; Vieli, A; Blankenship, DD; Joughin, I; King, EC; Vieli, GJMCL; Payne, AJ; Jacobel, R</t>
  </si>
  <si>
    <t>Ice flow direction change in interior West Antarctica</t>
  </si>
  <si>
    <t>PENETRATING RADAR; STREAM; SHEET; ZONE; AGE</t>
  </si>
  <si>
    <t>Upstream of Byrd Station (West Antarctica), ice-penetrating radar data reveal a distinctive fold structure within the ice, in which isochronous layers are unusually deep. The fold has an axis more than 50 kilometers long, which is aligned up to 45degrees to the ice flow direction. Although explanations for the fold's formation under the present flow are problematic, it can be explained if flow was parallel to the fold axis similar to 1500 years ago. This flow change may be associated with ice stream alterations nearer the margin. If this is true, central West Antarctica may respond to future alterations more than previously thought.</t>
  </si>
  <si>
    <t>Univ Bristol, Sch Geog Sci, Bristol Glaciol Ctr, Ctr Polar Observat &amp; Modelling, Bristol BS8 1SS, Avon, England; St Olaf Coll, Dept Phys, Northfield, MN 55057 USA; Univ Texas, John A &amp; Katherine G Jackson Sch Geosci, Inst Geophys, Austin, TX 78759 USA; CALTECH, Jet Prop Lab, Pasadena, CA 91109 USA; British Antarctic Survey, Div Phys Sci, Cambridge CB3 0ET, England</t>
  </si>
  <si>
    <t>University of Bristol; Saint Olaf College; University of Texas System; University of Texas Austin; National Aeronautics &amp; Space Administration (NASA); NASA Jet Propulsion Laboratory (JPL); California Institute of Technology; UK Research &amp; Innovation (UKRI); Natural Environment Research Council (NERC); NERC British Antarctic Survey</t>
  </si>
  <si>
    <t>Siegert, MJ (corresponding author), Univ Bristol, Sch Geog Sci, Bristol Glaciol Ctr, Ctr Polar Observat &amp; Modelling, Bristol BS8 1SS, Avon, England.</t>
  </si>
  <si>
    <t>m.j.siegert@bristot.ac.uk</t>
  </si>
  <si>
    <t>Joughin, Ian/AAR-7778-2021; Vieli, Andreas/A-6767-2011; Joughin, Ian R/A-2998-2008; Siegert, Martin J/A-3826-2008; Siegert, Martin/M-9939-2019; Blankenship, Donald D./G-5935-2010; payne, antony/A-8916-2008</t>
  </si>
  <si>
    <t>Joughin, Ian/0000-0001-6229-679X; Joughin, Ian R/0000-0001-6229-679X; Siegert, Martin J/0000-0002-0090-4806; Siegert, Martin/0000-0002-0090-4806; Leysinger Vieli, Gwendolyn/0000-0003-1817-0641; payne, antony/0000-0001-8825-8425</t>
  </si>
  <si>
    <t>10.1126/science.1101072</t>
  </si>
  <si>
    <t>857RM</t>
  </si>
  <si>
    <t>WOS:000224136000043</t>
  </si>
  <si>
    <t>Kawamoto, N; Kanzawa, H; Shiotani, M</t>
  </si>
  <si>
    <t>Time variations of descent in the Antarctic vortex during the early winter of 1997</t>
  </si>
  <si>
    <t>ILAS; polar vortex; descent rate; transport; trace species; Southern Hemisphere</t>
  </si>
  <si>
    <t>ATMOSPHERIC SPECTROMETER ILAS; STRATOSPHERIC POLAR VORTEX; INTERANNUAL VARIABILITY; TRACER TRANSPORT; CIRCULATION; ALGORITHM; PRODUCTS; OZONE</t>
  </si>
  <si>
    <t>We analyzed long-lived chemical constituents observed by the Improved Limb Atmospheric Spectrometer (ILAS) on board the Advanced Earth Observing Satellite (ADEOS) to study the stratospheric descent in the Southern Hemisphere polar vortex. The ILAS N2O distribution inside the polar vortex exhibited clear downward motion in February to June 1997. Average descent for the 5 months is estimated to be similar to2.1-1.7 km month(-1) in the middle stratosphere. In late April to June when planetary waves are relatively active, the vertical velocity displays time variations with a period of about 10 days. These time variations also synchronize with both time variations of the temperature time change (partial derivative(T) over bar/partial derivativet) and the Eliassen-Palm flux divergence (D-F) in high latitudes. Moreover, a correlation coefficient map in the latitude-height cross section between the vertical velocity and the temperature time change reveals an interesting four-box pattern, suggesting warming below 10 hPa and cooling above 10 hPa in the polar region (70degrees-90degreesS) and an opposite distribution in midlatitudes (40degrees-70degreesS), when large descent is observed inside the polar vortex. It is just like the meridional circulation in response to D-F induced by planetary waves, which was first illustrated by Matsuno's stratospheric sudden warming theory.</t>
  </si>
  <si>
    <t>Japan Aerosp Explorat Agcy, Earth Observat Res &amp; Applicat Ctr, Tokyo 1046023, Japan; Natl Inst Environm Studies, Ibaraki, Japan; Kyoto Univ, Res Inst Sustainable Humanosphere, Kyoto 6110011, Japan</t>
  </si>
  <si>
    <t>Japan Aerospace Exploration Agency (JAXA); National Institute for Environmental Studies - Japan; Kyoto University</t>
  </si>
  <si>
    <t>Japan Aerosp Explorat Agcy, Earth Observat Res &amp; Applicat Ctr, Tokyo 1046023, Japan.</t>
  </si>
  <si>
    <t>nozomi@eorc.jaxa.jp; kanzawa@ihas.nagoya-u.ac.jp; shiotani@rish.kyoto-u.ac.jp</t>
  </si>
  <si>
    <t>Shiotani, Masato/M-8498-2017</t>
  </si>
  <si>
    <t>Shiotani, Masato/0000-0001-5844-4032</t>
  </si>
  <si>
    <t>SEP 23</t>
  </si>
  <si>
    <t>D18</t>
  </si>
  <si>
    <t>D18309</t>
  </si>
  <si>
    <t>10.1029/2004JD004650</t>
  </si>
  <si>
    <t>857OG</t>
  </si>
  <si>
    <t>WOS:000224126500005</t>
  </si>
  <si>
    <t>Wood, SW; Batchelor, RL; Goldman, A; Rinsland, CP; Connor, BJ; Murcray, FJ; Stephen, TM; Heuff, DN</t>
  </si>
  <si>
    <t>Ground-based nitric acid measurements at Arrival Heights, Antarctica, using solar and lunar Fourier transform infrared observations</t>
  </si>
  <si>
    <t>stratosphere; polar; winter</t>
  </si>
  <si>
    <t>FTIR MEASUREMENTS; LIGHT-SOURCE; TRACE GASES; HNO3; MOON; UARS; DENITRIFICATION; VALIDATION; CLAES</t>
  </si>
  <si>
    <t>Nitric acid plays an important role in processes leading to stratospheric ozone loss in polar regions. Spectroscopic absorption measurements of nitric acid have been made during the sunlit part of the Antarctic year at Arrival Heights (78degreesS, 167degreesE) since the late 1980s. This paper presents the first extension of these nitric acid measurements through the winter, using the Moon as a light source. Both solar and lunar measurements for the years 1998-2003 are presented. For the lunar measurements, additional corrections owing to emission of the atmosphere and the instrument must be made. The measurements show that the column amount of nitric acid within the polar vortex continues to increase after polar sunset reaching values of similar to2.5x10(16) molecules cm(-2) similar to1 month after sunset. When temperatures become low enough for the condensation of water and nitric acid molecules, polar stratospheric clouds form, and rapid depletion of the gaseous nitric acid column is observed. The measurements have captured this event particularly well in 2002. At the time of the polar sunrise the column amounts of nitric acid are extremely depleted and are as low as 0.5x10(16) molecules cm(-2). During the spring period the site can sample air from both inside and outside the polar vortex. Inside the vortex the observed gradual recovery of HNO3 in the spring and summer months is consistent with predictions of denitrification occurring during the Antarctic winter. For measurements outside the vortex, higher HNO3 columns are observed.</t>
  </si>
  <si>
    <t>Natl Inst Water &amp; Atmospher Res, Central Otago 9182, Omakau, New Zealand; Univ Canterbury, Dept Phys &amp; Astron, Canterbury 8020, New Zealand; Univ Denver, Dept Phys, Denver, CO 80208 USA; NASA, Langley Res Ctr, Hampton, VA 23681 USA</t>
  </si>
  <si>
    <t>National Institute of Water &amp; Atmospheric Research (NIWA) - New Zealand; University of Canterbury; University of Denver; National Aeronautics &amp; Space Administration (NASA); NASA Langley Research Center</t>
  </si>
  <si>
    <t>Natl Inst Water &amp; Atmospher Res, Private Bag 50061, Central Otago 9182, Omakau, New Zealand.</t>
  </si>
  <si>
    <t>s.wood@niwa.co.nz; r.batchelor@niwa.co.nz; goldman@acd.ucar.edu; c.p.rinsland@larc.nasa.gov; b.connor@niwa.co.nz; fmurcray@du.edu; d.heuff@canterbury.ac.nz</t>
  </si>
  <si>
    <t>Batchelor, Rebecca/AAS-8576-2020</t>
  </si>
  <si>
    <t>Batchelor, Rebecca/0000-0002-7594-3148</t>
  </si>
  <si>
    <t>D18307</t>
  </si>
  <si>
    <t>10.1029/2004JD004665</t>
  </si>
  <si>
    <t>WOS:000224126500006</t>
  </si>
  <si>
    <t>Cockell, CS; Stokes, MD</t>
  </si>
  <si>
    <t>Ecology - Widespread colonization by polar hypoliths</t>
  </si>
  <si>
    <t>British Antarctic Survey, NERC, Cambridge CB3 0ET, England; Scripps Inst Oceanog, Marine Phys Lab, La Jolla, CA 92037 USA</t>
  </si>
  <si>
    <t>UK Research &amp; Innovation (UKRI); Natural Environment Research Council (NERC); NERC British Antarctic Survey; University of California System; University of California San Diego; Scripps Institution of Oceanography</t>
  </si>
  <si>
    <t>British Antarctic Survey, NERC, High Cross, Cambridge CB3 0ET, England.</t>
  </si>
  <si>
    <t>10.1038/431414a</t>
  </si>
  <si>
    <t>855UN</t>
  </si>
  <si>
    <t>WOS:000224000500030</t>
  </si>
  <si>
    <t>Rignot, E; Casassa, G; Gogineni, P; Krabill, W; Rivera, A; Thomas, R</t>
  </si>
  <si>
    <t>Accelerated ice discharge from the Antarctic Peninsula following the collapse of Larsen B ice shelf</t>
  </si>
  <si>
    <t>BREAK-UP; GREENLAND; SHEETS; FLOW</t>
  </si>
  <si>
    <t>Interferometric synthetic-aperture radar data collected by ERS-1/2 and Radarsat-1 satellites show that Antarctic Peninsula glaciers sped up significantly following the collapse of Larsen B ice shelf in 2002. Hektoria, Green and Evans glaciers accelerated eightfold between 2000 and 2003 and decelerated moderately in 2003. Jorum and Crane glaciers accelerated twofold in early 2003 and threefold by the end of 2003. In contrast, Flask and Leppard glaciers, further south, did not accelerate as they are still buttressed by an ice shelf. The mass loss associated with the flow acceleration exceeds 27 km 3 per year, and ice is thinning at rates of tens of meters per year. We attribute this abrupt evolution of the glaciers to the removal of the buttressing ice shelf. The magnitude of the glacier changes illustrates the importance of ice shelves on ice sheet mass balance and contribution to sea level change.</t>
  </si>
  <si>
    <t>CALTECH, Jet Prop Lab, Pasadena, CA 91109 USA; Ctr Estudios Cient, Valdivia, Chile; Univ Kansas, Radar Syst &amp; Remote Sensing Lab, Lawrence, KS 66045 USA; NASA, Goddard Space Flight Ctr, Lab Hydrospher Proc, Wallops Isl, VA 23337 USA; EG&amp;G Serv, Wallops Isl, VA 23337 USA</t>
  </si>
  <si>
    <t>National Aeronautics &amp; Space Administration (NASA); NASA Jet Propulsion Laboratory (JPL); California Institute of Technology; University of Kansas; National Aeronautics &amp; Space Administration (NASA); NASA Goddard Space Flight Center</t>
  </si>
  <si>
    <t>CALTECH, Jet Prop Lab, 4800 Oak Grove Dr,MS 200-227, Pasadena, CA 91109 USA.</t>
  </si>
  <si>
    <t>eric.rignot@jpl.nasa.gov; gc@cecs.cl; gogineni@ittc.ku.edu; krabill@osb1.wff.nasa.gov; arivera@blackhole.cecs.cl; thomas@aim1.wff.nasa.gov</t>
  </si>
  <si>
    <t>Casassa, Gino/AAX-6142-2020; Rignot, Eric/A-4560-2014</t>
  </si>
  <si>
    <t>Rignot, Eric/0000-0002-3366-0481; Rivera, Andres/0000-0002-2779-4192</t>
  </si>
  <si>
    <t>SEP 22</t>
  </si>
  <si>
    <t>L18401</t>
  </si>
  <si>
    <t>10.1029/2004GL020697</t>
  </si>
  <si>
    <t>857OA</t>
  </si>
  <si>
    <t>WOS:000224125900003</t>
  </si>
  <si>
    <t>Lee, CC; Liu, JY; Chen, MQ; Su, SY; Yeh, HC; Nozaki, K</t>
  </si>
  <si>
    <t>Observation and model comparisons of the traveling atmospheric disturbances over the Western Pacific region during the 6-7 April 2000 magnetic storm</t>
  </si>
  <si>
    <t>TADs; magnetic storm; TIEGCM</t>
  </si>
  <si>
    <t>ZONAL ELECTRIC-FIELDS; LOW LATITUDES; IONOSPHERIC STORMS; MIDDLE LATITUDES; DYNAMO</t>
  </si>
  <si>
    <t>[1] The ionospheric features of traveling atmospheric disturbances (TADs) over the Western Pacific region have been observed by the Wuhan, NCU-DPS, and Cebu ionosondes and the ROCSAT-1 satellite during the 6 - 7 April 2000 magnetic storm. The nighttime observations are further compared with the simulation results of the Thermosphere-Ionosphere Electrodynamics General Circulation Model (TIEGCM). Both observation and model demonstrate that the TADs propagate equatorward with a phase speed of 610 - 650 m/s. The observations and corresponding TIEGCM simulations show a negative initial correlation between NmF(2) and HmF(2) caused by equatorward wind surges at various locations from midlatitudes to the equator. These qualitative agreements reveal that the TIEGCM is capable of simulating the TADs. The TIEGCM simulations of two locations located in the downwind hemisphere further show decreases in NmF(2) and HmF(2) mainly due to the enhanced transequatorial winds. After lowering the F-2 layer at the two locations, the HmF(2) is raised for several hours and shows slightly enhanced NmF(2) daytime values while the meridional wind is at background magnitude. We propose that this effect is caused by accumulation of plasma transported from northern latitudes. However, we also find that the NmF(2), HmF(2), and the lifetimes of HmF(2) uplift phase and equatorial vertical drift in the model results are quantitatively inconsistent with that in the observed data.</t>
  </si>
  <si>
    <t>Ching Yun Univ, Gen Educ Ctr, Jhongli, Taoyuan County, Taiwan; Natl Cent Univ, Inst Space Sci, Jhongli 320, Taoyuan County, Taiwan; Natl Inst Informat &amp; Commun Technol, Antarctic Res Off, Tokyo 1848795, Japan</t>
  </si>
  <si>
    <t>Chien Hsin University of Science &amp; Technology; National Central University; National Institute of Information &amp; Communications Technology (NICT) - Japan</t>
  </si>
  <si>
    <t>Ching Yun Univ, Gen Educ Ctr, 229 Jeihshin Rd, Jhongli, Taoyuan County, Taiwan.</t>
  </si>
  <si>
    <t>cclee@jupiter.ss.ncu.edu.tw; jyliu@jupiter.ss.ncu.edu.tw; cmq@jupiter.ss.ncu.edu.tw; t2700146@twncu865.ncu.edu.tw; yeh@jupiter.ss.ncu.edu.tw; nozaki@nict.go.jp</t>
  </si>
  <si>
    <t>Liu, Jann-Yenq/Q-1668-2015</t>
  </si>
  <si>
    <t>Lee, Chien-Chih/0000-0002-0982-6875</t>
  </si>
  <si>
    <t>A9</t>
  </si>
  <si>
    <t>A09309</t>
  </si>
  <si>
    <t>10.1029/2003JA010267</t>
  </si>
  <si>
    <t>857OP</t>
  </si>
  <si>
    <t>WOS:000224127500001</t>
  </si>
  <si>
    <t>Higginson, MJ; Altabet, MA</t>
  </si>
  <si>
    <t>Initial test of the silicic acid leakage hypothesis using sedimentary biomarkers</t>
  </si>
  <si>
    <t>SOUTHERN-OCEAN; PHYTOPLANKTON COMMUNITY; CARBON-DIOXIDE; ORGANIC-MATTER; CLIMATE; DIATOMS; SI; PRODUCTIVITY; TEMPERATURE; NITROGEN</t>
  </si>
  <si>
    <t>Several mechanisms have been proposed for large CO2 changes at glacial Terminations, including shifting the CaCO3:C-org rain ratio by changing surface water nutrient supply, altering the balance between diatom and coccolithophore production. Diatom Si:N is highest in Fe-stressed high-latitude waters. Southern Ocean Fe enrichment studies suggest diatom Si demands reduced under Fe-replete (glacial) conditions, allowing increased silicic acid to leak northward in subducted intermediate water and upwell at lower latitudes. We test this 'Silicic Acid Leakage' hypothesis using relative abundances of phytoplankton-specific biomarkers in Peru margin sediments spanning 0-20 Ka. Results indicate increased coccolithophorid: diatom production from similar to0.5 to 3 between 18.0-15.5 Ka. Temporal correlation with the initial pCO(2) rise and early deglacial shift in mode water ventilation implicates a coincidental, possibly causative reorganization of Sub-Antarctic Mode Water formation and reduced Fe abundance. However, coccolithophorid production subsequently declined, suggesting rain ratio changes were only partly responsible for the CO2 deglacial transition.</t>
  </si>
  <si>
    <t>Univ Massachusetts Dartmouth, Sch Marine Sci &amp; Technol, New Bedford, MA 02744 USA; Foren Alliance Ltd, Abingdon OX14 3ED, Oxon, England</t>
  </si>
  <si>
    <t>University of Massachusetts System; University Massachusetts Dartmouth</t>
  </si>
  <si>
    <t>Higginson, MJ (corresponding author), Univ Massachusetts Dartmouth, Sch Marine Sci &amp; Technol, 706 S Rodney French Blvd, New Bedford, MA 02744 USA.</t>
  </si>
  <si>
    <t>matthew.higginson@forensicalliance.com</t>
  </si>
  <si>
    <t>SEP 21</t>
  </si>
  <si>
    <t>L18303</t>
  </si>
  <si>
    <t>10.1029/2004GL020511</t>
  </si>
  <si>
    <t>857NZ</t>
  </si>
  <si>
    <t>WOS:000224125800002</t>
  </si>
  <si>
    <t>Meland, K</t>
  </si>
  <si>
    <t>Species diversity and phylogeny of the deep-sea genus Pseudomma (Crustacea: Mysida)</t>
  </si>
  <si>
    <t>ZOOTAXA</t>
  </si>
  <si>
    <t>POLYMORPHIC CHARACTERS; BIOGEOGRAPHY; FAUNA</t>
  </si>
  <si>
    <t>The mysidacean genus Pseudomma G. O. Sars, 1870 occurs throughout the world's oceans, containing 38 highly endemic and primarily deep sea species. The taxonomic history of the genus and taxonomic status of species currently included in Pseudomma is reviewed. Pseudomma kruppi W. M. Tattersall, 1909 is for the first time recorded from the Pacific Ocean. A comparative study of morphology suggests morphological stasis within the genus Pseudomma, possibly a result of stabilizing selection in a homogeneous deep-sea environment. 71 morphological characters are used to reconstruct Pseudomma phylogeny. The general frequency coding method (GFC) was applied in re-coding 14 polymorphic characters. Fifty-seven conventional characters were treated in separate analyses as either ordered or unordered to investigate how assumptions on character transformation influenced phylogeny. Maximum parsimony searches with both assumptions produced incongruent trees with conflicting branching patterns particularly in deeper nodes. A meaningful interpretation of origin and radiation in early lineages proved to be difficult. Recognition of consistent and more robust branching patterns in several recent lineages suggest monophyletic species groups that are confined within three major geographic areas, North Atlantic, northern Pacific and Antarctic. Branching order could be attributed to speciation events that were in accordance with recent geological history, such as the closing of the Panama Isthmus and establishment of the Norwegian Sea.</t>
  </si>
  <si>
    <t>Univ Bergen, Dept Biol, N-5020 Bergen, Norway</t>
  </si>
  <si>
    <t>University of Bergen</t>
  </si>
  <si>
    <t>Meland, K (corresponding author), Univ Bergen, Dept Biol, POB 7800, N-5020 Bergen, Norway.</t>
  </si>
  <si>
    <t>Kenneth.Meland@bio.uib.no</t>
  </si>
  <si>
    <t>MAGNOLIA PRESS</t>
  </si>
  <si>
    <t>AUCKLAND</t>
  </si>
  <si>
    <t>PO BOX 41383, AUCKLAND, ST LUKES 1030, NEW ZEALAND</t>
  </si>
  <si>
    <t>1175-5326</t>
  </si>
  <si>
    <t>1175-5334</t>
  </si>
  <si>
    <t>Zootaxa</t>
  </si>
  <si>
    <t>SEP 20</t>
  </si>
  <si>
    <t>875PT</t>
  </si>
  <si>
    <t>WOS:000225434300001</t>
  </si>
  <si>
    <t>Tsidu, GM; von Clarmann, T; Stiller, GP; Höpfner, M; Fischer, H; Glatthor, N; Grabowski, U; Kellmann, S; Kiefer, M; Linden, A; Milz, M; Steck, T; Wang, DY; Funke, B</t>
  </si>
  <si>
    <t>Stratospheric N2O5 in the austral spring 2002 as retrieved from limb emission spectra recorded by the Michelson Interferometer for Passive Atmospheric Sounding (MIPAS) -: art. no. D18301</t>
  </si>
  <si>
    <t>major warmings; N2O5; retrieval</t>
  </si>
  <si>
    <t>VERTICAL PROFILES; CROSS-SECTIONS; PARAMETERS</t>
  </si>
  <si>
    <t>N2O5 was retrieved from infrared limb emission spectral radiances made by the Michelson Interferometer for Passive Atmospheric Sounding (MIPAS) on board the European environmental satellite (ENVISAT). The measurements were taken during the period covering the Antarctic polar vortex split between 20 September and 13 October 2002. The retrieval of N2O5 is aggravated by its continuum-like emission feature covering a wide spectral region, which is hardly distinguishable from background continuum emission. The method of constraining the background continuum in the N2O5 analysis spectral region to its value in a N2O5-free spectral region was found to be appropriate to solve this problem. Retrieved volume mixing ratios (VMR) of N2O5 exhibit features consistent with the dynamics prevalent at the time in the Antarctic and known N2O5 chemistry governing diurnal variability. The observations of low N2O5 inside vortex air mass and rich N2O5 exvortex air mass are strongly in support of the chemistry that governs its partitioning within the NOy family. The enhanced nighttime high geographic latitude N2O5 VMR with a peak of 4.4 ppbv in the altitude range of 32-37 km during the last week of September 2002 is consistent with air mass transport from lower to high latitudes and temperature-sensitive N2O5 formation chemistry. N2O5 enhancement up to 6 ppbv was also observed by the Cryogenic Limb Array Etalon Spectrometer(CLAES) and Improved Stratospheric and Mesospheric Sounder (ISAMS) experiments on Upper Atmospheric Research Satellite (UARS) during Northern Hemisphere January 1992 stratospheric warming which was a factor of 3 larger than any measurements of N2O5 prior to UARS. In contrast, a maximum of 4.4 ppbv N2O5 VMR observed by MIPAS at 32-37 km is only a factor of 2 larger than its prewarming values.</t>
  </si>
  <si>
    <t>Forschungszentrum Karlsruhe, D-76021 Karlsruhe, Germany; Univ Karlsruhe, IMK, D-76021 Karlsruhe, Germany; CSIC, Inst Astrofis Andalucia, E-18080 Granada, Spain</t>
  </si>
  <si>
    <t>Helmholtz Association; Karlsruhe Institute of Technology; Helmholtz Association; Karlsruhe Institute of Technology; Consejo Superior de Investigaciones Cientificas (CSIC); CSIC - Instituto de Astrofisica de Andalucia (IAA)</t>
  </si>
  <si>
    <t>Forschungszentrum Karlsruhe, Postfach 3640, D-76021 Karlsruhe, Germany.</t>
  </si>
  <si>
    <t>gizaw.mengistu.tsidu@imk.fzk.de</t>
  </si>
  <si>
    <t>Tsidu, Gizaw Mengistu/AAG-6048-2019; Milz, Mathias/C-9899-2011; Glatthor, Norbert/B-2141-2013; Stiller, Gabriele P./A-7340-2013; Kiefer, Michael/A-7254-2013; von Clarmann, Thomas/A-7287-2013; Funke, Bernd/C-2162-2008; Hopfner, Michael/A-7255-2013</t>
  </si>
  <si>
    <t>Stiller, Gabriele P./0000-0003-2883-6873; Funke, Bernd/0000-0003-0462-4702; Milz, Mathias/0000-0002-4478-2185; von Clarmann, Thomas/0000-0003-2219-3379; Hopfner, Michael/0000-0002-4174-9531</t>
  </si>
  <si>
    <t>SEP 17</t>
  </si>
  <si>
    <t>D18301</t>
  </si>
  <si>
    <t>10.1029/2004JD004856</t>
  </si>
  <si>
    <t>857NG</t>
  </si>
  <si>
    <t>WOS:000224123500011</t>
  </si>
  <si>
    <t>Shevenell, AE; Kennett, JP; Lea, DW</t>
  </si>
  <si>
    <t>Middle Miocene Southern Ocean cooling and Antarctic cryosphere expansion</t>
  </si>
  <si>
    <t>ATMOSPHERIC CARBON-DIOXIDE; SEA-SURFACE TEMPERATURE; ICE-SHEET DEVELOPMENT; SOUTHWEST PACIFIC; CLIMATE; MG/CA; GLACIATION; AUSTRALIA; SECTION; RECORD</t>
  </si>
  <si>
    <t>Magnesium/calcium data from Southern Ocean planktonic foraminifera demonstrate that high-latitude (similar to55degreesS) southwest Pacific sea surface temperatures (SSTs) cooled 6degrees to 7degreesC during the middle Miocene climate transition (14.2 to 13.8 million years,ago). Stepwise surface cooling is paced by eccentricity forcing and precedes Antarctic cryosphere expansion by similar to60 thousand years, suggesting the involvement of additional feedbacks during this interval of inferred low-atmospheric partial pressure of CO2 (pCO(2)). Comparing SSTs and global carbon cycling proxies challenges the notion that episodic PCO2 drawdown drove this major Cenozoic climate transition. SST, salinity, and ice-volume trends suggest instead that orbitally paced ocean circulation changes altered meridional heat/vapor transport, triggering ice growth and global cooling.</t>
  </si>
  <si>
    <t>Univ Calif Santa Barbara, Dept Geol Sci, Santa Barbara, CA 93106 USA; Univ Calif Santa Barbara, Inst Marine Sci, Santa Barbara, CA 93106 USA</t>
  </si>
  <si>
    <t>University of California System; University of California Santa Barbara; University of California System; University of California Santa Barbara</t>
  </si>
  <si>
    <t>Shevenell, AE (corresponding author), Univ Calif Santa Barbara, Dept Geol Sci, Santa Barbara, CA 93106 USA.</t>
  </si>
  <si>
    <t>ashevenell@umail.ucsb.edu</t>
  </si>
  <si>
    <t>Shevenell, Amelia E/C-2757-2015; shevenell, Amelia/A-4161-2009</t>
  </si>
  <si>
    <t>10.1126/science.1100061</t>
  </si>
  <si>
    <t>856IS</t>
  </si>
  <si>
    <t>WOS:000224039500039</t>
  </si>
  <si>
    <t>Lefebvre, W; Goosse, H; Timmermann, R; Fichefet, T</t>
  </si>
  <si>
    <t>Influence of the Southern Annular Mode on the sea ice-ocean system</t>
  </si>
  <si>
    <t>SAM; Antarctic; sea ice-ocean system</t>
  </si>
  <si>
    <t>NORTH-ATLANTIC OSCILLATION; LOW-FREQUENCY VARIABILITY; ZONAL WIND VACILLATION; NCEP-NCAR REANALYSIS; WEDDELL SEA; INTERANNUAL VARIABILITY; SURFACE TEMPERATURE; ARCTIC-OCEAN; CIRCULATION; HEMISPHERE</t>
  </si>
  <si>
    <t>[1] The global sea ice - ocean model ORCA2-LIM, driven by the NCEP/NCAR ( National Centers for Environmental Prediction-National Center for Atmospheric Research) reanalysis daily 2-m air temperatures and 10-m winds and by monthly climatologies for precipitation, cloud cover, and relative humidity, is used to investigate the impact of the Southern Annular Mode (SAM) on the Antarctic sea ice-ocean system. Our results suggest that the response of the circumpolar Southern Ocean consists of an annular and a nonannular component. For the sea ice cover, the non-annular component seems to be the most important. The annular component strongly affects the overall patterns of the upper ocean circulation. When the SAM is in its positive phase, a northward surface Ekman drift, a downwelling at about 45 degreesS, and an upwelling in the vicinity of the Antarctic continent are simulated. The non-annular component has a significant impact at the regional scale, especially in the Weddell, Ross, Amundsen, and Bellingshausen Seas. In those regions, the pressure pattern associated with the SAM induces meridional winds which advect warmer air in the Weddell Sea and around the Antarctic Peninsula and colder air in the Amundsen and Ross Seas. This implies a dipole response of sea ice to the SAM, with on average a decrease in ice area in the Weddell Sea and around the Antarctic Peninsula and an increase in the Ross and Amundsen Seas during years with a high SAM index. The long-term trend in the observed sea ice area does not appear to be related to the trend in the SAM index.</t>
  </si>
  <si>
    <t>Catholic Univ Louvain, Inst Astron &amp; Geophys Georges Lemaitre, B-1348 Louvain, Belgium; Alfred Wegener Inst Polar &amp; Marine Res, D-27515 Bremerhaven, Germany</t>
  </si>
  <si>
    <t>Universite Catholique Louvain; Helmholtz Association; Alfred Wegener Institute, Helmholtz Centre for Polar &amp; Marine Research</t>
  </si>
  <si>
    <t>Catholic Univ Louvain, Inst Astron &amp; Geophys Georges Lemaitre, Chemin Cyclotron 2, B-1348 Louvain, Belgium.</t>
  </si>
  <si>
    <t>lefebvre@astr.ucl.ac.be</t>
  </si>
  <si>
    <t>Lefebvre, Wouter/F-5610-2015</t>
  </si>
  <si>
    <t>Lefebvre, Wouter/0000-0002-3277-3118</t>
  </si>
  <si>
    <t>SEP 16</t>
  </si>
  <si>
    <t>C09005</t>
  </si>
  <si>
    <t>10.1029/2004JC002403</t>
  </si>
  <si>
    <t>857NN</t>
  </si>
  <si>
    <t>WOS:000224124300001</t>
  </si>
  <si>
    <t>Lawrence, JS; Ashley, MCB; Tokovinin, A; Travouillon, T</t>
  </si>
  <si>
    <t>Exceptional astronomical seeing conditions above Dome C in Antarctica</t>
  </si>
  <si>
    <t>TURBULENCE PROFILE; ADAPTIVE OPTICS</t>
  </si>
  <si>
    <t>One of the most important considerations when planning the next generation of ground-based optical astronomical telescopes is to choose a site that has excellent 'seeing'-the jitter in the apparent position of a star that is caused by light bending as it passes through regions of differing refractive index in the Earth's atmosphere. The best mid-latitude sites have a median seeing ranging from 0.5 to 1.0 arcsec (refs 1-5). Sites on the Antarctic plateau have unique atmospheric properties that make them worth investigating as potential observatory locations. Previous testing at the US Amundsen-Scott South Pole Station has, however, demonstrated poor seeing, averaging 1.8 arcsec (refs 6, 7). Here we report observations of the wintertime seeing from Dome C (ref. 8), a high point on the Antarctic plateau at a latitude of 75 degrees S. The results are remarkable: the median seeing is 0.27 arcsec, and below 0.15 arcsec 25 per cent of the time. A telescope placed at Dome C would compete with one that is 2 to 3 times larger at the best mid-latitude observatories, and an interferometer based at this site could work on projects that would otherwise require a space mission.</t>
  </si>
  <si>
    <t>Univ New S Wales, Sch Phys, Sydney, NSW 2052, Australia; Cerro Tololo Interamer Observ, La Serena, Chile</t>
  </si>
  <si>
    <t>University of New South Wales Sydney; National Optical Astronomy Observatory</t>
  </si>
  <si>
    <t>Univ New S Wales, Sch Phys, Sydney, NSW 2052, Australia.</t>
  </si>
  <si>
    <t>m.ashley@unsw.edu.au</t>
  </si>
  <si>
    <t>Tokovinin, Andrei/AAG-3702-2020</t>
  </si>
  <si>
    <t>Tokovinin, Andrei/0000-0002-2084-0782; Travouillon, Tony/0000-0001-9304-6718; Lawrence, Jon/0000-0002-6998-6993; Ashley, Michael/0000-0003-1412-2028</t>
  </si>
  <si>
    <t>10.1038/nature02929</t>
  </si>
  <si>
    <t>853XJ</t>
  </si>
  <si>
    <t>WOS:000223864000032</t>
  </si>
  <si>
    <t>Dugdale, RC; Lyle, M; Wilkerson, FP; Chai, F; Barber, RT; Peng, TH</t>
  </si>
  <si>
    <t>Influence of equatorial diatom processes on Si deposition and atmospheric CO2 cycles at glacial/interglacial timescales -: art. no. PA3011</t>
  </si>
  <si>
    <t>diatoms; CO2; silicate</t>
  </si>
  <si>
    <t>DIMENSIONAL ECOSYSTEM MODEL; PACIFIC UPWELLING SYSTEM; PRIMARY PRODUCTIVITY; CARBON-DIOXIDE; SOUTHERN-OCEAN; SILICATE; NUTRIENT; NITROGEN; FLUX; VARIABILITY</t>
  </si>
  <si>
    <t>[1] The causes of the glacial cycle remain unknown, although the primary driver is changes in atmospheric CO2, likely controlled by the biological pump and biogeochemical cycles. The two most important regions of the ocean for exchange of CO2 with the atmosphere are the equatorial Pacific and the Southern Ocean ( SO), the former a net source and the latter a net sink under present conditions. The equatorial Pacific has been shown to be a Si(OH)(4)-limited ecosystem, a consequence of the low source Si(OH)(4) concentrations in upwelled water that has its origin in the SO. This teleconnection for nutrients between the two regions suggests an oscillatory relationship that may influence or control glacial cycles. Opal mass accumulation rate (MAR) data and delta(15)N measurements in equatorial cores are interpreted with predictions from a one- dimensional Si(OH)(4)-limited ecosystem model (CoSINE) for the equatorial Pacific. The results suggest that equatorial Pacific surface CO2 processes are in opposite phase to that of the global atmosphere, providing a negative feedback to the glacial cycle. This negative feedback is implemented through the effect of the SO on the equatorial Si(OH)(4) supply. An alternative hypothesis, that the whole ocean becomes Si(OH)(4) poor during cooling periods, is suggested by low opal MAR in cores from both equatorial and Antarctic regions, perhaps as a result of low river input. terminations in this scenario would result from blooms of coccolithophorids triggered by low Si(OH)(4) concentrations.</t>
  </si>
  <si>
    <t>San Francisco State Univ, Romberg Tiburon Ctr, Tiburon, CA 94920 USA; Boise State Univ, Ctr Geophys Invest Shallow Subsurface, Boise, ID 83725 USA; Univ Maine, Sch Marine Sci, Orono, ME 04469 USA; Duke Univ, NSOE Marine Lab, Beaufort, NC 28516 USA; NOAA, Atlantic Oceanog &amp; Meteorol Lab, Ocean Chem Div, Miami, FL 33149 USA</t>
  </si>
  <si>
    <t>California State University System; San Francisco State University; Idaho; Boise State University; University of Maine System; University of Maine Orono; Duke University; National Oceanic Atmospheric Admin (NOAA) - USA; Atlantic Oceanographic &amp; Meteorological Laboratory (AOML)</t>
  </si>
  <si>
    <t>San Francisco State Univ, Romberg Tiburon Ctr, 3152 Paradise Dr, Tiburon, CA 94920 USA.</t>
  </si>
  <si>
    <t>rdugdale@sfsu.edu; mlyle@boisestate.edu; fwilkers@sfsu.edu; fchai@maine.edu; rbarber@duke.edu; peng@aoml.noaa.gov</t>
  </si>
  <si>
    <t>PA3011</t>
  </si>
  <si>
    <t>10.1029/2003PA000929</t>
  </si>
  <si>
    <t>857NU</t>
  </si>
  <si>
    <t>WOS:000224125200001</t>
  </si>
  <si>
    <t>Farris, D</t>
  </si>
  <si>
    <t>Race to the pole: Tragedy, heroism, and Scott's Antarctic quest.</t>
  </si>
  <si>
    <t>BOWKER MAGAZINE GROUP CAHNERS MAGAZINE DIVISION</t>
  </si>
  <si>
    <t>249 W 17TH ST, NEW YORK, NY 10011 USA</t>
  </si>
  <si>
    <t>SEP 15</t>
  </si>
  <si>
    <t>853SJ</t>
  </si>
  <si>
    <t>WOS:000223847700142</t>
  </si>
  <si>
    <t>Ajtic, JV; Connor, BJ; Lawrence, BN; Bodeker, GE; Hoppel, KW; Rosenfield, JE; Heuff, DN</t>
  </si>
  <si>
    <t>Dilution of the Antarctic ozone hole into southern midlatitudes, 1998-2000</t>
  </si>
  <si>
    <t>STRATOSPHERIC POLAR VORTEX; CHEMICAL-TRANSPORT MODEL; POAM-III OBSERVATIONS; NEW-ZEALAND; GLOBAL IMPACT; 3-DIMENSIONAL TRANSPORT; MIXING PROPERTIES; AIR; DEPLETION; TROPOSPHERE</t>
  </si>
  <si>
    <t>[1] The reduction in southern midlatitude ozone is quantified by evaluating the trajectories of ozone-depleted air masses, assuming that photochemical recovery of ozone in advected air parcels can be ignored. This procedure is carried out for the 3 months from 15 October to 15 January for each of the years 1998, 1999, and 2000. Two distinct source regions, the vortex core and the vortex edge, are considered, and for each day, diabatic reverse domain filling calculations are performed for an ensemble of parcels between 30 degreesS and 60 degreesS and 400 - 700 K in altitude. In 1998, 1999, and 2000 the mean calculated ozone reduction is 16, 18, and 19 DU, respectively. Air parcels from the vortex edge region are significant contributors to the reduction, especially during spring. Results for four longitudinal and three latitudinal midlatitude subregions are also presented. A comparison with the Total Ozone Mapping Spectrometer measurements of total column ozone shows that without the dilution, ozone over Southern Hemisphere midlatitudes would be 5 - 6% higher during spring and summer. This result is probably an overestimate due to the neglect of photochemical recovery.</t>
  </si>
  <si>
    <t>Natl Inst Water &amp; Atmospher Res Lauder, Omakau 9182, Central Otago, New Zealand; Univ Canterbury, Dept Phys &amp; Astron, Christchurch 8020, New Zealand; Rutherford Appleton Lab, British Atmospher Data Ctr, Didcot OX11 0QX, Oxon, England; USN, Res Lab, Remote Sensing Phys Branch, Washington, DC 20375 USA; NASA, Goddard Space Flight Ctr, Goddard Earth Sci &amp; Technol Ctr, Greenbelt, MD 20771 USA</t>
  </si>
  <si>
    <t>National Institute of Water &amp; Atmospheric Research (NIWA) - New Zealand; University of Canterbury; UK Research &amp; Innovation (UKRI); Science &amp; Technology Facilities Council (STFC); STFC Rutherford Appleton Laboratory; United States Department of Defense; United States Navy; Naval Research Laboratory; National Aeronautics &amp; Space Administration (NASA); NASA Goddard Space Flight Center</t>
  </si>
  <si>
    <t>Natl Inst Water &amp; Atmospher Res Lauder, Privat Bag 50061, Omakau 9182, Central Otago, New Zealand.</t>
  </si>
  <si>
    <t>j.ajtic@niwa.co.nz; b.connor_@niwa.co.nz; b.n.lawrence@rl.ac.uk; g.bodeker@niwa.cri.nz; karl.hoppel@nrl.navy.mil; rose@euterpe.gsfc.nasa.gov; d.heuff@canterbury.ac.nz</t>
  </si>
  <si>
    <t>Ajtic, Jelena/HKO-2665-2023; Bodeker, Greg E/A-8870-2008</t>
  </si>
  <si>
    <t>Ajtic, Jelena/0000-0001-8200-4168; Bodeker, Gregory/0000-0003-1094-5852; Lawrence, Bryan/0000-0001-9262-7860</t>
  </si>
  <si>
    <t>SEP 14</t>
  </si>
  <si>
    <t>D17</t>
  </si>
  <si>
    <t>D17107</t>
  </si>
  <si>
    <t>10.1029/2003JD004500</t>
  </si>
  <si>
    <t>857NE</t>
  </si>
  <si>
    <t>Green Published, Green Submitted, Bronze</t>
  </si>
  <si>
    <t>WOS:000224123300004</t>
  </si>
  <si>
    <t>Innis, JL; Klekociuk, AR; Vincent, RA</t>
  </si>
  <si>
    <t>Interstation correlation of high-latitude lower-stratosphere gravity wave activity: Evidence for planetary wave modulation of gravity waves over Antarctica</t>
  </si>
  <si>
    <t>gravity waves; planetary waves; high-latitude stratosphere</t>
  </si>
  <si>
    <t>MACQUARIE ISLAND; LOWER ATMOSPHERE; RADAR</t>
  </si>
  <si>
    <t>[ 1] Four years of operational radiosonde balloon flights, from three Australian stations in eastern Antarctica (Casey, 66.3degreesS, 110.0degreesE; Davis, 68.6degreesS, 78.0degreesE; and Mawson, 67.6degreesS, 62.9degreesE) are analyzed to derive lower-stratosphere ( 12 - 20 km altitude) gravity wave information from perturbations in wind and temperature. Gravity wave activity and seasonal behavior was found to be similar to that seen in earlier studies from Antarctica. Interstation comparisons of zonal wind and gravity wave activity showed very high correlations throughout the entire data set, between Mawson and Davis stations ( similar to 600 km distant), with a lag near 0.5 days. The correlations between Casey and Davis ( 1400 km apart) were lower but still significant, with a lag near 1 day. There is no significant correlation between stratospheric gravity wave activity and surface winds. Our results suggest a pattern of winds and waves moving eastward over the stations with a speed near 15 m s(-1). As this is comparable to planetary wave speeds, we interpret our results as being evidence for a significant planetary wave - induced modulation of the zonal wind and the gravity wave field, although we are unable to identify the mechanism by which this operates. Our work suggests that the high-latitude lower-stratosphere gravity wave fields are relatively uniform on spatial scales of 500 - 1000 km and on timescales of around 0.5 - 1 days.</t>
  </si>
  <si>
    <t>Australian Antarctic Div, Kingston, Tas 7050, Australia; Univ Adelaide, Dept Phys &amp; Math Phys, Adelaide, SA 5005, Australia</t>
  </si>
  <si>
    <t>Australian Antarctic Division; University of Adelaide</t>
  </si>
  <si>
    <t>Australian Antarctic Div, Channel Highway, Kingston, Tas 7050, Australia.</t>
  </si>
  <si>
    <t>john.innis@aad.gov.au; andrew.klekociuk@aad.gov.au; robert.vincent@adelaide.edu.au</t>
  </si>
  <si>
    <t>Vincent, Robert A/E-5450-2013; Klekociuk, Andrew/A-4498-2015</t>
  </si>
  <si>
    <t>Vincent, Robert A/0000-0001-6559-6544; Klekociuk, Andrew/0000-0003-3335-0034</t>
  </si>
  <si>
    <t>D17106</t>
  </si>
  <si>
    <t>10.1029/2004JD004961</t>
  </si>
  <si>
    <t>WOS:000224123300007</t>
  </si>
  <si>
    <t>Groppi, CE; Kulesa, C; Walker, C; Martin, CL</t>
  </si>
  <si>
    <t>Millimeter and submillimeter survey of the R Coronae Australis region</t>
  </si>
  <si>
    <t>ISM : clouds; ISM : individual (Corona Australis Cloud); ISM : jets and outflows; ISM : kinematics and dynamics; ISM : molecules; stars : formation</t>
  </si>
  <si>
    <t>MOLECULAR CLOUD; STAR FORMATION; INFALL; CORE; EMISSION; COLLAPSE; OUTFLOWS; OBJECTS; DUST; DISK</t>
  </si>
  <si>
    <t>Using a combination of data from the Antarctic Submillimeter Telescope and Remote Observatory (AST/RO), the Arizona Radio Observatory Kitt Peak 12 m telescope, and the Arizona Radio Observatory 10 m Heinrich Hertz Telescope, we have studied the most active part of the R CrA molecular cloud in multiple transitions of carbon monoxide, HCO+, and 870 mum continuum emission. Since R CrA is nearby (130 pc), we are able to obtain physical spatial resolution as high as 0.01 pc over an area of 0.16 pc(2), with velocity resolution finer than 1 km s(-1). Mass estimates of the protostar driving the millimeter-wave emission derived from HCO+, dust continuum emission, and kinematic techniques point to a young, deeply embedded protostar of similar to0.5 - 0.75 M-., with a gaseous envelope of similar mass. A molecular outflow is driven by this source that also contains at least 0.8 M-. of molecular gas with similar to0.5 L-. of mechanical luminosity. HCO+ lines show the kinematic signature of infall motions, as well as bulk rotation. The source is most likely a Class 0 protostellar object not yet visible at near-IR wavelengths. With the combination of spatial and spectral resolution in our data set, we are able to disentangle the effects of infall, rotation, and outflow toward this young object.</t>
  </si>
  <si>
    <t>Natl Radio Astron Observ, Tucson, AZ 85721 USA; Univ Arizona, Steward Observ, Tucson, AZ 85721 USA; Smithsonian Astrophys Observ, Cambridge, MA 02138 USA</t>
  </si>
  <si>
    <t>National Radio Astronomy Observatory (NRAO); University of Arizona; Smithsonian Astrophysical Observatory; Harvard University; Smithsonian Institution</t>
  </si>
  <si>
    <t>Groppi, CE (corresponding author), Natl Radio Astron Observ, 949 N Cherry Ave, Tucson, AZ 85721 USA.</t>
  </si>
  <si>
    <t>cgroppi@nrao.edu</t>
  </si>
  <si>
    <t>Groppi, Christopher E/L-5284-2013</t>
  </si>
  <si>
    <t>Martin, Christopher/0000-0002-8078-8859</t>
  </si>
  <si>
    <t>UNIV CHICAGO PRESS</t>
  </si>
  <si>
    <t>CHICAGO</t>
  </si>
  <si>
    <t>1427 E 60TH ST, CHICAGO, IL 60637-2954 USA</t>
  </si>
  <si>
    <t>SEP 10</t>
  </si>
  <si>
    <t>10.1086/422168</t>
  </si>
  <si>
    <t>852XW</t>
  </si>
  <si>
    <t>WOS:000223791100033</t>
  </si>
  <si>
    <t>Andersen, KK; Azuma, N; Barnola, JM; Bigler, M; Biscaye, P; Caillon, N; Chappellaz, J; Clausen, HB; DahlJensen, D; Fischer, H; Flückiger, J; Fritzsche, D; Fujii, Y; Goto-Azuma, K; Gronvold, K; Gundestrup, NS; Hansson, M; Huber, C; Hvidberg, CS; Johnsen, SJ; Jonsell, U; Jouzel, J; Kipfstuhl, S; Landais, A; Leuenberger, M; Lorrain, R; Masson-Delmotte, V; Miller, H; Motoyama, H; Narita, H; Popp, T; Rasmussen, SO; Raynaud, D; Rothlisberger, R; Ruth, U; Samyn, D; Schwander, J; Shoji, H; Siggard-Andersen, ML; Steffensen, JP; Stocker, T; Sveinbjörnsdóttir, AE; Svensson, A; Takata, M; Tison, JL; Thorsteinsson, T; Watanabe, O; Wilhelms, F; White, JWC</t>
  </si>
  <si>
    <t>N Greenland Ice Core Project</t>
  </si>
  <si>
    <t>High-resolution record of Northern Hemisphere climate extending into the last interglacial period</t>
  </si>
  <si>
    <t>GREENLAND ICE-SHEET; CORE PROJECT; DELTA O-18; SEA-LEVEL; TEMPERATURE-CHANGE; OXYGEN-ISOTOPE; GLACIAL CYCLE; BASAL MELT; GRIP; GISP2</t>
  </si>
  <si>
    <t>Two deep ice cores from central Greenland, drilled in the 1990s, have played a key role in climate reconstructions of the Northern Hemisphere, but the oldest sections of the cores were disturbed in chronology owing to ice folding near the bedrock. Here we present an undisturbed climate record from a North Greenland ice core, which extends back to 123,000 years before the present, within the last interglacial period. The oxygen isotopes in the ice imply that climate was stable during the last interglacial period, with temperatures 5 degreesC warmer than today. We find unexpectedly large temperature differences between our new record from northern Greenland and the undisturbed sections of the cores from central Greenland, suggesting that the extent of ice in the Northern Hemisphere modulated the latitudinal temperature gradients in Greenland. This record shows a slow decline in temperatures that marked the initiation of the last glacial period. Our record reveals a hitherto unrecognized warm period initiated by an abrupt climate warming about 115,000 years ago, before glacial conditions were fully developed. This event does not appear to have an immediate Antarctic counterpart, suggesting that the climate see-saw between the hemispheres (which dominated the last glacial period) was not operating at this time.</t>
  </si>
  <si>
    <t>Univ Copenhagen, Niels Bohr Inst Astron Phys &amp; Geophys, DK-2100 Copenhagen OE, Denmark; Nagaoka Univ Technol, Nagaoka, Niigata 9402188, Japan; CNRS, Lab Glaciol &amp; Geophys Environm, F-38402 St Martin Dheres, France; Univ Bern, Inst Phys, CH-3012 Bern, Switzerland; Columbia Univ, Lamont Doherty Earth Observ, Palisades, NY 10964 USA; Ctr Etud Saclay, Inst Pierre Simon Laplace, Lab Sci Climat &amp; Environm, UMR CEA CNRS, F-91191 Gif Sur Yvette, France; Alfred Wegener Inst Polar &amp; Marine Res, D-27515 Bremerhaven, Germany; Natl Inst Polar Res, Itabashi Ku, Tokyo 1738515, Japan; Nord Volcanol Inst, IS-108 Reykjavik, Iceland; Stockholm Univ, Dept Phys Geog &amp; Quaternary Geol, S-10691 Stockholm, Sweden; Free Univ Brussels, Fac Sci, Dept Sci Terre &amp; Environm, B-1050 Brussels, Belgium; Res Inst Humanity &amp; Nat, Kamigyo Ku, Kyoto 6020878, Japan; Univ Colorado, INSTAAR, Boulder, CO 80309 USA; Kitami Inst Technol, Kitami, Hokkaido 0908507, Japan; Natl Energy Author, IS-108 Reykjavik, Iceland</t>
  </si>
  <si>
    <t>University of Copenhagen; Niels Bohr Institute; Nagaoka University of Technology; Centre National de la Recherche Scientifique (CNRS); University of Bern; Columbia University; Universite Paris Saclay; CEA; Centre National de la Recherche Scientifique (CNRS); Universite Paris Cite; Helmholtz Association; Alfred Wegener Institute, Helmholtz Centre for Polar &amp; Marine Research; Research Organization of Information &amp; Systems (ROIS); National Institute of Polar Research (NIPR) - Japan; University of Iceland; Stockholm University; Universite Libre de Bruxelles; Research Institute for Humanity &amp; Nature (RIHN); University of Colorado System; University of Colorado Boulder; Kitami Institute of Technology</t>
  </si>
  <si>
    <t>Univ Copenhagen, Niels Bohr Inst Astron Phys &amp; Geophys, Juliane Maries Vej 30, DK-2100 Copenhagen OE, Denmark.</t>
  </si>
  <si>
    <t>ddj@gfy.ku.dk; sigfus@gfy.ku.dk</t>
  </si>
  <si>
    <t>Bigler, Matthias/HTT-3872-2023; Leuenberger, Markus C/K-9655-2016; Rasmussen, Sune Olander/AAA-3190-2021; Wilhelms, Frank/KEI-8426-2024; Fluckiger, Jacqueline/G-3457-2011; Hvidberg, Christine S./E-8934-2015; Raynaud, Dominique/H-9626-2016; Svensson, Anders/A-2643-2010; Stocker, Thomas F/B-1273-2013; Steffensen, Jorgen Peder/JFS-7831-2023; Jonsell, Ulf/F-3116-2015; raynaud, dominique/ABG-4718-2020; Dahl-Jensen, Dorthe/AAO-6951-2020; Rasmussen, Sune/B-5560-2008; Chappellaz, Jérôme A./A-4872-2011; Bishnoi, Mamta/AAQ-8346-2021; Masson-Delmotte, Valerie L/G-1995-2011; White, James W.C./A-7845-2009; Fischer, Hubertus/A-1211-2014; Caillon, Nicolas/B-7127-2019; Tison, Jean-Louis/F-4065-2015; Andersen, Katrine Krogh/B-4082-2016</t>
  </si>
  <si>
    <t>Bigler, Matthias/0000-0003-0184-4013; Leuenberger, Markus C/0000-0003-4299-6793; Rasmussen, Sune Olander/0000-0002-4177-3611; Wilhelms, Frank/0000-0001-7688-3135; Hvidberg, Christine S./0000-0002-9665-1339; Svensson, Anders/0000-0002-4364-6085; Steffensen, Jorgen Peder/0000-0002-5516-1093; Jonsell, Ulf/0000-0001-6532-8590; Dahl-Jensen, Dorthe/0000-0002-1474-1948; Bishnoi, Mamta/0000-0003-4987-0536; Masson-Delmotte, Valerie L/0000-0001-8296-381X; Fritzsche, Diedrich/0000-0002-0018-8993; Fischer, Hubertus/0000-0002-2787-4221; Miller, Heinrich/0000-0003-1015-2828; Caillon, Nicolas/0000-0002-6318-6194; Tison, Jean-Louis/0000-0002-9758-3454; Andersen, Katrine Krogh/0000-0003-4178-2195; Huber, Christof/0000-0001-5767-045X; LANDAIS, Amaelle/0000-0002-5620-5465</t>
  </si>
  <si>
    <t>SEP 9</t>
  </si>
  <si>
    <t>10.1038/nature02805</t>
  </si>
  <si>
    <t>852HI</t>
  </si>
  <si>
    <t>WOS:000223746000034</t>
  </si>
  <si>
    <t>Turetta, C; Cozzi, G; Barbante, C; Capodaglio, G; Cescon, P</t>
  </si>
  <si>
    <t>Trace element determination in seawater by ICP-SFMS coupled with a microflow nebulization/desolvation system</t>
  </si>
  <si>
    <t>ANALYTICAL AND BIOANALYTICAL CHEMISTRY</t>
  </si>
  <si>
    <t>trace elements; seawater; ICP-SFMS; desolvation system</t>
  </si>
  <si>
    <t>PLASMA-MASS SPECTROMETRY; SEA-WATER; IMINODIACETATE RESIN; NORTH-ATLANTIC; HEAVY-METALS; CADMIUM; COASTAL; LEAD; CU; NI</t>
  </si>
  <si>
    <t>Direct and simultaneous determination of Al, Ag, As, Cd, Co, Cr, Cu, Fe, Mn, Mo, Pb, Sb, U, V and Zri in diluted (1:10 v:v) seawater from the Antarctic Ocean and the Venice Lagoon at the ng mL(-1) and pg mL(-1) level has been performed by using an inductively coupled plasma sector field mass spectrometer (ICP-SFMS). Samples were analysed by using a PFA microflow nebulizer coupled with a desolvation system or a PFA microflow nebulizer coupled with a Teflon spray chamber, respectively. Measurements were carried out at low (LR, m/Deltam=300), medium (MR, m/Deltam=3,000) and high (HR, m/Deltam=7,500) resolutions depending on the studied isotope. To avoid contamination, sample pre-treatment was carried out in a clean laboratory equipped with a Class 100 vertical laminar flow hood. Concentration ranges (minimum-maximum in ng mL(-1)) found in the Antarctic seawater samples (in depth profiles) were: Ag 0.0004-0.0018, As 0.69-1.32, Cd 0.031-0.096, Co 0.018-0.065, Cr 0.18-0.46, Cu 0.04-1.58, Fe 0.13-1.63, Mn 0.02-0.12, Mo 5.97-12.46, Pb 0.007-0.074, Sb 0.033-0.088, U 0.5-1.9, V 0.6-2.5 and Zn 0.16-0.80. Concentration ranges (min-max in ng mL(-1)) found in the Venice Lagoon water samples (temporal profile from a benthic chamber experiment) were: Al 0.24-0.61, Ag 0.007-0.031, As 1.42-2.27, Cd 0.050-0.182, Co 0.440-1.461, Cr 0.15-0.34, Cu 0.81-2.46, Fe 0.25-1.66, Mn 11.6-31.7, Mo 6.50-10.6, Pb 0.047-0.225, Sb 0.240-0.492, U 1.7-3.3, V 1.3-2.8 and Zn 5.20-21.5. The detection limits range between 0.06 pg mL(-1) for Ag and U to 15 pg mL(-1) for Fe. In order to check the accuracy of the analytical procedure, measurements of the trace elements in a certified reference material (coastal Atlantic seawater, CASS-4-NRCC) were compared with the certified values. In addition, the results from the Antarctic and Venice Lagoon samples were compared with those obtained by using different analytical techniques.</t>
  </si>
  <si>
    <t>Univ Ca Foscari Venice, Dept Environm Sci, I-30123 Venice, Italy; CNR, Inst Dynam Environm Proc, I-30123 Venice, Italy</t>
  </si>
  <si>
    <t>Universita Ca Foscari Venezia; Consiglio Nazionale delle Ricerche (CNR); Istituto per la Dinamica dei Processi Ambientali (IDPA-CNR)</t>
  </si>
  <si>
    <t>Univ Ca Foscari Venice, Dept Environm Sci, Dorsoduro 2137, I-30123 Venice, Italy.</t>
  </si>
  <si>
    <t>Cozzi, Giulio/F-6473-2010; Cozzi, Giulio/R-4554-2019; Barbante, Carlo/B-3195-2011; Turetta, Clara/O-2849-2015; Capodaglio, Gabriele/D-5295-2014</t>
  </si>
  <si>
    <t>Cozzi, Giulio/0000-0001-8796-4176; Turetta, Clara/0000-0003-3130-2901; Capodaglio, Gabriele/0000-0002-3689-4865; Barbante, Carlo/0000-0003-4177-2288; Cescon, Paolo/0000-0003-1836-6759</t>
  </si>
  <si>
    <t>1618-2642</t>
  </si>
  <si>
    <t>1618-2650</t>
  </si>
  <si>
    <t>ANAL BIOANAL CHEM</t>
  </si>
  <si>
    <t>Anal. Bioanal. Chem.</t>
  </si>
  <si>
    <t>SEP</t>
  </si>
  <si>
    <t>10.1007/s00216-004-2676-0</t>
  </si>
  <si>
    <t>Biochemical Research Methods; Chemistry, Analytical</t>
  </si>
  <si>
    <t>Biochemistry &amp; Molecular Biology; Chemistry</t>
  </si>
  <si>
    <t>862ZB</t>
  </si>
  <si>
    <t>WOS:000224528900012</t>
  </si>
  <si>
    <t>Lewis, M; Campagna, C; Zavatti, J</t>
  </si>
  <si>
    <t>Annual cycle and inter-annual variation in the haul-out pattern of an increasing southern elephant seal colony</t>
  </si>
  <si>
    <t>breeding and moulting cycle; demography; Mirounga leonina; ocean fronts; Peninsula Valdes; population size</t>
  </si>
  <si>
    <t>MIROUNGA-LEONINA; BREEDING BIOLOGY; POPULATION; TEMPERATURE; KERGUELEN; BEHAVIOR; CHLOROPHYLL; CROZET</t>
  </si>
  <si>
    <t>The study describes the annual cycle of southern elephant seals for the increasing colony of Peninsula Valdes, and compares it to the haul-out pattern reported for stable or decreasing sub-Antarctic colonies of the species. Data were collected during censuses of the entire colony (nine breeding seasons, two moulting seasons and one autumn-winter haul-out), monthly surveys of coastline and mark-recapture of pups. Pup production during the study period grew from 12 113 to 14 621 animals (1995-2003). Most relevant events of the cycle were similar for all colonies studied, independent of the geographical location, size or population trend. Compared with other locations where southern elephant seals breed and moult, distinct features for Peninsula Valdes were: i) breeding occurs earlier in the spring, and ii) most adult females reproduce and moult in the same colony. The increasing number of animals ashore was correlated with the expansion in pup production. Population trends and stability of demographic events could be related to a consistent physical environment (ocean fronts) during foraging phases of the annual cycle.</t>
  </si>
  <si>
    <t>Consejo Nacl Invest Cient &amp; Tecn, RA-9120 Puerto Madryn, Argentina; Univ Nacl Patagonia San Juan Bosco, RA-9120 Chubut, Argentina</t>
  </si>
  <si>
    <t>Consejo Nacional de Investigaciones Cientificas y Tecnicas (CONICET); Universidad Nacional de la Patagonia San Juan Bosco</t>
  </si>
  <si>
    <t>Consejo Nacl Invest Cient &amp; Tecn, RA-9120 Puerto Madryn, Argentina.</t>
  </si>
  <si>
    <t>lewis@cenpat.edu.ar</t>
  </si>
  <si>
    <t>Campagna, Claudio/0000-0002-7971-5062; Lewis, Mirtha/0000-0001-6262-6226</t>
  </si>
  <si>
    <t>10.1017/S0954102004002020</t>
  </si>
  <si>
    <t>861GE</t>
  </si>
  <si>
    <t>WOS:000224403300001</t>
  </si>
  <si>
    <t>Kim, D; Kim, DY; Kim, YJ; Kang, YC; Shim, J</t>
  </si>
  <si>
    <t>Downward fluxes of biogenic material in Bransfield Strait, Antarctica</t>
  </si>
  <si>
    <t>biogenic silica; BSi/OC ratio; organic carbon; particle flux; time-series sediment trap</t>
  </si>
  <si>
    <t>SOUTH SHETLAND ISLANDS; MARGINAL ICE-ZONE; ROSS-SEA; PARTICLE FLUXES; EUPHAUSIA-SUPERBA; CARBON-DIOXIDE; PHYTOPLANKTON BIOMASS; ELEPHANT ISLAND; WATER MASSES; OCEAN</t>
  </si>
  <si>
    <t>Time-series sediment traps were deployed to investigate the temporal evolution of particle fluxes in eastern and central Bransfield Strait, from December 1999-December 2000. Particle fluxes showed large seasonal variation at both trap sites. In eastern Bransfield Strait, summer mass fluxes were two orders of magnitude higher than winter mass fluxes, while in central Bransfield Strait, almost 99% of the annual mass flux (33 g m(-2)) was collected in a 40-day period from December-January. Export flux also exhibited a high regional variability. This regional variability is probably due to central Bransfield Strait's strong surface current, which carries most settling particles produced in the surface waters away from the mooring site during the low summer flux period. The relatively low biogenic silica to organic carbon ratios (a range of 0.29-1.4) and high lithogenic fluxes (41% of total mass flux) indicate that the growth of phytoplankton is not limited by the micronutrient iron in eastern Bransfield Strait. The annual flux of organic carbon in eastern Bransfield Strait was 6.8 g C m(-2), which is three times higher than the flux measured in central Bransfield Strait (2.2 g C m (-2)). Organic carbon flux in eastern Bransfield Strait is relatively high for the Southern Ocean, possibly due to fast-sinking faecal pellets that lead to less decomposition of organic material in the water column. Calculations suggest that approximately 7.2% of the organic carbon produced at the surface in eastern Bransfield Strait is exported to a depth of 678 m. This exceeds the maximum calculated export of primary production to a depth of 1000 m in the Atlantic and Southern oceans.</t>
  </si>
  <si>
    <t>Korea Ocean Res &amp; Dev Inst, Polar Res Inst, Seoul 425600, South Korea; Korea Ocean Res &amp; Dev Inst, Insturmentat Management Sect, Seoul 425600, South Korea</t>
  </si>
  <si>
    <t>Korea Institute of Ocean Science &amp; Technology (KIOST); Korea Institute of Ocean Science &amp; Technology (KIOST)</t>
  </si>
  <si>
    <t>Kim, D (corresponding author), Korea Ocean Res &amp; Dev Inst, Polar Res Inst, POB 29, Seoul 425600, South Korea.</t>
  </si>
  <si>
    <t>dkim@kordi.re.kr</t>
  </si>
  <si>
    <t>Shim, JeongHee/0000-0003-0699-9145</t>
  </si>
  <si>
    <t>10.1017/S0954102004002032</t>
  </si>
  <si>
    <t>WOS:000224403300002</t>
  </si>
  <si>
    <t>Two new species of Paramunnidae (Crustacea, Isopoda, Asellota) from the South Shetland islands</t>
  </si>
  <si>
    <t>Austrosignum escandellae sp nov.; Coulmannia ramosae sp nov.; taxonomy</t>
  </si>
  <si>
    <t>Two new species of Paramunnidae (Crustacea, Isopoda, Asellota) from the South Shetland Islands (sub-Antarctic) are described. Austrosignum escandellae sp. nov. has long eyestalks, dorsum slightly sculpted (transverse bumps on pereonites 1-5), and lateral margins of pereonites rounded. The closest species is A. spinosum Kussakin, 1982 that also shows dorsum sculpted. The main differences are the ocular peduncle (short in A. spinosum) and the lateral margins of pereonites (pointed in A. spinosum). Coulmannia ramosae sp. nov. differs from the other two species of this genus (C. australis Hodgson, 19 10 and C. frigida Hodgson, 19 10) in that only the margins of pereonites 2-4 are expanded (into one point). A discussion of the Austrosignum/Munnogonium complex is provided with a comparative table of the species involved.</t>
  </si>
  <si>
    <t>Univ Barcelona, Dept Didact Ciencies Expt &amp; Matemat, Passeig Vall Hebron,171, Barcelona 08035, Spain.</t>
  </si>
  <si>
    <t>10.1017/S0954102004002093</t>
  </si>
  <si>
    <t>WOS:000224403300003</t>
  </si>
  <si>
    <t>La Mesa, M; Ashford, J; Larson, E; Vacchi, M</t>
  </si>
  <si>
    <t>Age and growth of Scotia sea icefish, Chaenocephalus aceratus, from the south Shetland islands</t>
  </si>
  <si>
    <t>CCAMLR; growth performance index; otoliths; sexual maturity; Southem Ocean</t>
  </si>
  <si>
    <t>VALIDATION</t>
  </si>
  <si>
    <t>Samples of Chaenocephalus aceratus (Lonnberg) were collected during a trawl survey carried out around the South Shetland Islands in January-February 2002. Fish were caught by commercial bottom trawl fishing down to 500 in depth, using a stratified randomized sampling design. As observed in other recent surveys within the same area, C aceratus represented one of the predominant species. Overall, 357 specimens ranging from 13 and 67 cm (TL) were selected for the present study. Ages were estimated by counting annuli present in the sagittal otoliths, exposed by grinding and polishing along their sagittal plane. To estimate the precision of age data, we compared blind readings by readers from different institutions. The age range was 1-17 years for females and 1-15 years for males. Von Bertalanffy growth curves were fitted to the estimated age-length data for each sex. The estimated values of asymptotic length L-infinity (cm) and K (year(-1)) were respectively 79.8 and 0.07 for females and 60.0 and 0.09 for males. The growth performance index ranged between 2 and 2.5, similar to that reported in other icefish. Sexual maturity was attained by females and males at about 10 and 9 years old respectively, at about 60% of their maximum estimated age. These results are compared with age and growth data available in the literature for C aceratus, and discussed in the light of recent commercial exploitation.</t>
  </si>
  <si>
    <t>ISMAR CNR, Ist Sci Marine, Sez Pesca Marittima, I-60125 Ancona, Italy; Old Dominion Univ, Ctr Quantitat Fisheries Ecol, Norfolk, VA 23529 USA; Ist Cent Ric Sci &amp; Tecnol Applicata Mare, I-00166 Rome, Italy</t>
  </si>
  <si>
    <t>Consiglio Nazionale delle Ricerche (CNR); Istituto di Scienze Marine (ISMAR-CNR); Old Dominion University</t>
  </si>
  <si>
    <t>La Mesa, M (corresponding author), ISMAR CNR, Ist Sci Marine, Sez Pesca Marittima, Largo Fiera Pesca, I-60125 Ancona, Italy.</t>
  </si>
  <si>
    <t>m.lamesa@ismar.cnr.it</t>
  </si>
  <si>
    <t>CNR, Ismar/P-1247-2014</t>
  </si>
  <si>
    <t>CNR, Ismar/0000-0001-5351-1486</t>
  </si>
  <si>
    <t>10.1017/S0954102004002044</t>
  </si>
  <si>
    <t>WOS:000224403300004</t>
  </si>
  <si>
    <t>Arata, J; Robertson, G; Valencia, J; Xavier, JC; Moreno, CA</t>
  </si>
  <si>
    <t>Diet of grey-headed albatrosses at the Diego Ramirez islands, Chile: ecological implications</t>
  </si>
  <si>
    <t>ENSO; niche partitioning; squid; sympatry; Thalassarche chrysostoma; T. melanophrys</t>
  </si>
  <si>
    <t>SQUID MARTIALIA HYADESI; BLACK-BROWED ALBATROSS; SOUTH GEORGIA; SYMPATRIC ALBATROSSES; DIOMEDEA-CHRYSOSTOMA; CEPHALOPOD PREY; FISHERY BIOLOGY; OCEAN; EXPLOITATION; OCEANOGRAPHY</t>
  </si>
  <si>
    <t>The diet of grey-headed albatrosses at Diego Ramirez was analysed and compared to that of the sympatric black-browed albatross. Diet composition was inferred from an analysis of prey hard parts present in 103 chick regurgitates obtained during breeding seasons 2000, 2001 and 2002. The squid Martialia hyadesi predominated in the diet samples in 2001 and 2002 (89% and 81% of reconstituted mass), but was absent from the 2000 samples. Reconstituted mean mass per sample in 2000 was significantly lower than in 2001 and 2002. Chick growth rate during 2000 was also the lowest recorded. This suggests that M hyadesi plays an important role in the breeding performance of grey-headed albatrosses at Diego Ramirez. Low presence of M hyadesi in grey-headed albatrosses' diet at South Georgia in 2000, a year with significant low breeding success, suggests ocean-wide processes affecting the availability of this prey to both populations simultaneously. Overlap in diet composition, and inferred feeding areas, between the sympatric albatross species at Diego Ramirez was minimal. Grey-headed albatrosses fed mainly on species associated with the Antarctic Polar Front, whereas black-browed albatrosses consumed benthopelagic species frequently caught in fishing operations in southern Chile.</t>
  </si>
  <si>
    <t>Univ Austral Chile, Inst Ecol &amp; Evoluc, Valdivia, Chile; Australian Antarctic Div, Kingston, Tas 7050, Australia; Inst Antartico Chileno, Punta Arenas, Chile; British Antarctic Survey, NERC, Cambridge CB3 0ET, England</t>
  </si>
  <si>
    <t>Universidad Austral de Chile; Australian Antarctic Division; UK Research &amp; Innovation (UKRI); Natural Environment Research Council (NERC); NERC British Antarctic Survey</t>
  </si>
  <si>
    <t>Univ Austral Chile, Inst Ecol &amp; Evoluc, Campus Isla Teja,Casilla 567, Valdivia, Chile.</t>
  </si>
  <si>
    <t>javierarata@entelchile.net</t>
  </si>
  <si>
    <t>Xavier, José/KFB-6739-2024; Valencia, Jose/IAO-2562-2023; valencia, jose/F-5593-2014; Arata, Javier A./ABH-9557-2020; Arata, Javier/U-9754-2017</t>
  </si>
  <si>
    <t>Arata, Javier/0000-0001-7320-0511; /0000-0002-9621-6660</t>
  </si>
  <si>
    <t>10.1017/S095410200400207X</t>
  </si>
  <si>
    <t>WOS:000224403300005</t>
  </si>
  <si>
    <t>Abollino, O; Aceto, M; Buoso, S; Gasparon, M; Green, WJ; Malandrino, M; Mentasti, E</t>
  </si>
  <si>
    <t>Distribution of major, minor and trace elements in lake environments of Antarctica</t>
  </si>
  <si>
    <t>Antarctic lakes; metal traces; pattern recognition; rock weathering; sea spray; Terra Nova Bay</t>
  </si>
  <si>
    <t>TERRA-NOVA BAY; MCMURDO DRY VALLEYS; COASTAL SEAWATER; AUSTRAL SUMMER; EVOLUTION; METALS; WATER; GEOCHEMISTRY; CADMIUM; VANDA</t>
  </si>
  <si>
    <t>The concentrations of major, minor and trace metals were measured in water samples collected from five shallow Antarctic lakes (Carezza, Edmonson Point (No 14 and 15a), Inexpressible Island and Tarn Flat) found in Terra Nova Bay (northern Victoria Land, Antarctica) during the Italian Expeditions of 1993-2001. The total concentrations of a large suite of elements (Al, As, Ba, Ca, Cd, Ce, Co, Cr, Cs, Cu, Fe, Ga, Gd, K, La, Li, Mg, Mn, Mo, Na, Nd, Ni, Pb, Pr, Rb, Sc, Si, Sr, Ta, Ti, U, V, Y, W, Zn and Zr) were determined using spectroscopic techniques (ICP-AES, GF-AAS and ICP-MS). The results are similar to those obtained for the freshwater lakes of the Larsemann Hills, East Antarctica, and for the McMurdo Dry Valleys. Principal Component Analysis (PCA) and Cluster Analysis (CA) were performed to identify groups of samples with similar characteristics and to find correlations between the variables. The variability observed within the water samples is closely connected to the sea spray input; hence, it is primarily a consequence of geographical and meteorological factors, such as distance from the ocean and time of year. The trace element levels, in particular those of heavy metals, are very low, suggesting an origin from natural sources rather than from anthropogenic contamination.</t>
  </si>
  <si>
    <t>Univ Turin, Dept Analyt Chem, I-10125 Turin, Italy; Univ E Piedmont, Dept Sci &amp; Adv Technol, I-15100 Alessandria, Italy; Univ Queensland, Dept Earth Sci, St Lucia, Qld 4072, Australia; Miami Univ, Sch Interdisciplinary Studies, Oxford, OH 45056 USA</t>
  </si>
  <si>
    <t>University of Turin; University of Eastern Piedmont Amedeo Avogadro; University of Queensland; University System of Ohio; Miami University</t>
  </si>
  <si>
    <t>Univ Turin, Dept Analyt Chem, Via Giuria 5, I-10125 Turin, Italy.</t>
  </si>
  <si>
    <t>edoardo.mentasti@unito.it</t>
  </si>
  <si>
    <t>Aceto, Maurizio/H-8803-2017; Abollino, Ornella/AAS-7412-2020</t>
  </si>
  <si>
    <t>Aceto, Maurizio/0000-0001-6360-3632; Abollino, Ornella/0000-0003-2350-4941</t>
  </si>
  <si>
    <t>10.1017/S0954102004002111</t>
  </si>
  <si>
    <t>WOS:000224403300006</t>
  </si>
  <si>
    <t>Hughes, KA; Nobbs, SJ</t>
  </si>
  <si>
    <t>Long-term survival of human faecal microorganisms on the Antarctic Peninsula</t>
  </si>
  <si>
    <t>Antarctica; climate change; Environmental Protocol; faecal bacteria; faecal coliforms; freezing</t>
  </si>
  <si>
    <t>RESEARCH STATION; CLIMATE-CHANGE</t>
  </si>
  <si>
    <t>Human faecal waste has been discarded at inland Antarctic sites for over 100 years, but little is known about the long-term survival of faecal microorganisms in the Antarctic terrestrial environment or the environmental impact. This study identified viable faecal microorganisms in 30-40 year old human faeces sampled from the waste dump at Fossil Bluff Field Station, Alexander Island, Antarctic Peninsula. Viable aerobic and anaerobic bacteria were predominantly spore-forming varieties (Bacillus and Clostridium spp.). Faecal coliform bacteria were not detected, indicating that they are less able to survive Antarctic environmental conditions than spore-forming bacteria. In recent years, regional warming around the Antarctic Peninsula has caused a decrease in permanent snow cover around nunataks and coastal regions. As a result, previously buried toilet pits, depots and food dumps are now melting out and Antarctic Treaty Parties face the legacy of waste dumped in the Antarctic terrestrial environment by earlier expeditions. Previous faecal waste disposal on land may now start to produce detectable environmental pollution as well as potential health and scientific problems.</t>
  </si>
  <si>
    <t>British Antarctic Survey, NERC, Cambridge CB3 0ET, England; Derriford Hosp, Plymouth Hosp NHS Trust, Dept Microbiol, Plymouth PL6 8DH, Devon, England</t>
  </si>
  <si>
    <t>UK Research &amp; Innovation (UKRI); Natural Environment Research Council (NERC); NERC British Antarctic Survey; University of Plymouth; Derriford Hospital</t>
  </si>
  <si>
    <t>k.hughes@bas.ac.uk</t>
  </si>
  <si>
    <t>10.1017/S095410200400210X</t>
  </si>
  <si>
    <t>WOS:000224403300007</t>
  </si>
  <si>
    <t>Vacchi, M; La Mesa, M; Dalu, M; Macdonald, J</t>
  </si>
  <si>
    <t>Early life stages in the life cycle of Antarctic silverfish, Pleuragramma antarcticum in Terra Nova Bay, Ross Sea</t>
  </si>
  <si>
    <t>Antarctica; fish; larvae; Nototheniidae; Southern Ocean</t>
  </si>
  <si>
    <t>NOTOTHENIOPS-LARSENI; MCMURDO SOUND; PELAGIC LIFE; PISCES; SOUTHERN; DIET; ICE; ABUNDANCE; FISHES; FOOD</t>
  </si>
  <si>
    <t>The nototheniid Pleuragramma antarcticum (Boulenger, 1902), is the dominant pelagic fish in waters of the continental shelf in High Antarctic regions. Larvae and juveniles of this species comprise the majority of ichthyoplankton at many locations around Antarctica including the Weddell Sea and the western Ross Sea, where it may amount to 98% of the ichthyoplankton. Its life cycle has been the subject of a number of studies but spawning and embryological development are still uncertain. Eggs with embryos and newly hatched larvae of P antarcticum were collected in November 2002 near the Italian Antarctic station at Terra Nova Bay through holes drilled in the sea ice. Eggs and yolk-sac larvae were floating among the platelet ice below the solid cap of congelation ice. Eggs were 2.2-2.5 mm in diameter and contained embryos at an advanced stage of development. Hatching occurred from mid-November onwards, and newly hatched larvae averaged 9.3 mm SL. This paper provides the detailed description of embryos and newly hatched larvae in terms of pigmentation pattern and morphometric characteristics, thus allowing a significant advance in our understanding of the early life history of R antarcticum in the Ross Sea, and extending the knowledge of the life cycle of this key Antarctic species.</t>
  </si>
  <si>
    <t>Univ Genoa, ICRAM, I-16132 Genoa, Italy; ISMAR CNR, Sez Pesca Marittima, I-60125 Ancona, Italy; ICRAM, Ist Cent Ric Sci &amp; Technol Applicata Mare, I-00166 Rome, Italy; Univ Auckland, Sch Biol Sci, Auckland, New Zealand</t>
  </si>
  <si>
    <t>University of Genoa; Consiglio Nazionale delle Ricerche (CNR); Istituto di Scienze Marine (ISMAR-CNR); University of Auckland</t>
  </si>
  <si>
    <t>Univ Genoa, ICRAM, Viale Benedetto 15,5, I-16132 Genoa, Italy.</t>
  </si>
  <si>
    <t>CNR, Ismar/0000-0001-5351-1486; Dalu, Massimo/0000-0002-4788-2181</t>
  </si>
  <si>
    <t>10.1017/S0954102004002135</t>
  </si>
  <si>
    <t>WOS:000224403300008</t>
  </si>
  <si>
    <t>Sabbatini, A; Pawlowski, J; Gooday, AJ; Piraino, S; Bowser, SS; Morigi, C; Negri, A</t>
  </si>
  <si>
    <t>Vellaria zucchellii sp nov a new monothalamous foraminifer from Terra Nova Bay, Antarctica</t>
  </si>
  <si>
    <t>allogromiids; polar benthic communities; molecular systematics; taxonomic diversity</t>
  </si>
  <si>
    <t>EXPLORERS COVE; SEQUENCES</t>
  </si>
  <si>
    <t>Vellaria zucchellii sp. nov. is described from coastal sediment samples from Terra Nova Bay (Ross Sea, Antarctica, 74degrees40'28.1S, 164degrees04'11.6E, Tethys Bay, 25 m depth). This organic-walled monothalamous (single chambered) foraminifer is characterized by a wide, prominent aperture that facilitates attachment to larger particles (small sand grains or other foraminiferal shells). It shares this feature with the two other known species of Vellaria, both of which were described from an Indian estuary. Phylogenetic analysis of small subunit rRNA gene sequences suggest that V zucchellii is related to the genus Psammophaga. However, the new species lacks the mineral grain inclusions that are characteristic of Psammophaga. The description of this new organic-walled monothalamous foraminiferal species further documents the high taxonomic diversity of these delicate and abundant protists in the polar benthic communities.</t>
  </si>
  <si>
    <t>Univ Politecn Marche, Dipartimento Sci Mare, I-60131 Ancona, Italy; Univ Geneva, Dept Zool &amp; Biol Anim, CH-1211 Geneva 4, Switzerland; DEEPSEAS Grp, Southampton Oceanog Ctr, Southampton SO14 3ZH, Hants, England; Univ Lecce, Dipartimento Sci &amp; Tecnol Biol &amp; Ambientali, I-73100 Lecce, Italy; New York State Dept Hlth, Wadsworth Ctr, Albany, NY 12201 USA</t>
  </si>
  <si>
    <t>Marche Polytechnic University; University of Geneva; NERC National Oceanography Centre; University of Southampton; University of Salento; State University of New York (SUNY) System; Wadsworth Center</t>
  </si>
  <si>
    <t>Univ Politecn Marche, Dipartimento Sci Mare, Via Brecce Bianche, I-60131 Ancona, Italy.</t>
  </si>
  <si>
    <t>a.sabbatini@univpm.it</t>
  </si>
  <si>
    <t>Gooday, Andrew/AAH-8991-2021; Morigi, Caterina/B-3316-2012; Negri, Alessandra/D-4085-2011; Gooday, Andrew/ABB-4267-2020; Piraino, Stefano/J-5234-2012</t>
  </si>
  <si>
    <t>Morigi, Caterina/0000-0003-1340-9932; Gooday, Andrew/0000-0002-5661-7371; Piraino, Stefano/0000-0002-8752-9390; Negri, Alessandra/0000-0002-8133-3936; SABBATINI, ANNA/0000-0003-4577-5339</t>
  </si>
  <si>
    <t>10.1017/S0954102004002081</t>
  </si>
  <si>
    <t>WOS:000224403300009</t>
  </si>
  <si>
    <t>Van Dam, RP; Kooyman, GL</t>
  </si>
  <si>
    <t>Latitudinal distribution of penguins, seals and whales observed during a late autumn transect through the Ross Sea</t>
  </si>
  <si>
    <t>Adelie penguin; Antarctic; emperor penguin; marine mammals; pack ice</t>
  </si>
  <si>
    <t>EMPEROR PENGUINS; WINTER; ANTARCTICA; HABITAT; TRAVEL; MOLT</t>
  </si>
  <si>
    <t>During a cruise to the Ross Ice Shelf we counted all penguins and marine mammals seen whilst underway. Our objective was to determine the abundance and distribution of these animals along our cruise line. From 14 May until 11 June the sun was below the horizon. Our observations were from the 18 m high bridge. Most watches were in the dark, aided by the bridge spotlights. A total of 79 emperor penguins, 920 Adelie penguins, and 27 marine mammals were counted. We conclude that the Ross Sea, in which wildlife flourishes during the summer, is depauperate in winter. The low numbers of marine mammals may be due partially to their tendency to remain below the surface most of the time. However, Adelie penguins, a visual hunter which rests on sea ice at night, appear to prefer pack ice edges where there is a few hours of daylight and civil twilight for pursuit of prey. Non-breeding emperor penguins also rest on sea ice at night. All but four were observed north of the Ross Sea. Unlike more northerly colonies where females lay their egg and disperse in May female departure in the Ross Sea appears to be later and, we were unable to determine their winter foraging area.</t>
  </si>
  <si>
    <t>Univ Calif San Diego, Scripps Inst Oceanog, Ctr Marine Biotechnol &amp; Biomed, La Jolla, CA 92093 USA</t>
  </si>
  <si>
    <t>Univ Calif San Diego, Scripps Inst Oceanog, Ctr Marine Biotechnol &amp; Biomed, Scholander Hall 0204, La Jolla, CA 92093 USA.</t>
  </si>
  <si>
    <t>gkooyman@ucsd.edu</t>
  </si>
  <si>
    <t>, gerald/0000-0002-8872-2950</t>
  </si>
  <si>
    <t>10.1017/S0954102004002123</t>
  </si>
  <si>
    <t>WOS:000224403300010</t>
  </si>
  <si>
    <t>Hara, U; Crame, JA</t>
  </si>
  <si>
    <t>A new aspidostomatid bryozoan from the Cape Melville formation (Lower miocene) of King George Island, west Antarctica</t>
  </si>
  <si>
    <t>Antarctica; Aspidostomatidae; Bryozoa; glacial palacoenvironments; neogene austral palaeobiogeography</t>
  </si>
  <si>
    <t>OLIGOCENE; STRATIGRAPHY; CRYOSPHERE; PENINSULA; FACIES</t>
  </si>
  <si>
    <t>Fragments of large, bilamellar aspidostomatid bryozoan colonies occur in Early Miocene glaciomarine sedimentary sequences of the Cape Melville Formation, King George Island, South Shetland Islands, West Antarctica. Investigation of the morphological characters of this aspidostomatid cheilostome shows that it represents a new species, which is described herein as Aspidostoma melvillensis sp. n. A combination of the colony-growth pattern, inferred co-occurring biota and associated sedimentary structures indicates a comparatively deep-water, outer shelf palaeoenvironmental setting. This Miocene occurrence of Aspidostoma melvillensis sp.n. emphasizes a biogeographical link with adjacent Southern Hemisphere regions during the early Neogene.</t>
  </si>
  <si>
    <t>Panstwowy Inst Geol, PL-00975 Warsaw, Poland; NERC, British Antarct Survey, Cambridge CB3 0ET, England</t>
  </si>
  <si>
    <t>Polish Geological Institute - National Research Institute; UK Research &amp; Innovation (UKRI); Natural Environment Research Council (NERC); NERC British Antarctic Survey</t>
  </si>
  <si>
    <t>Panstwowy Inst Geol, Rakowiecka 4, PL-00975 Warsaw, Poland.</t>
  </si>
  <si>
    <t>whar@pgi.waw.pl; jacr@bas.ac.uk</t>
  </si>
  <si>
    <t>10.1017/S0954102004002159</t>
  </si>
  <si>
    <t>WOS:000224403300011</t>
  </si>
  <si>
    <t>Quilty, PG; Murray-Wallace, CV; Whitehead, JM</t>
  </si>
  <si>
    <t>Austrochlamys heardensis (Fleming, 1957) (Bivalvia: Pectinidae) from central Kerguelen Plateau, Indian Ocean:: palaeontology and possible tectonic significance</t>
  </si>
  <si>
    <t>amino acid dating; bivalve; diatoms; Neogene; Pectinidae; tectonics</t>
  </si>
  <si>
    <t>SEDIMENTATION; EVOLUTION; PERTH; BASIN</t>
  </si>
  <si>
    <t>Austrochlamys heardensis (Fleming) is recorded from a boulder of Late Pliocene (3.62-2.5 Ma) volcaniclastic sandstone dredged 70 km east-north-east of Heard Island, the third record of the species. The collection is much larger than the original described by Fleming and includes left valves which are described for the first time. The species is compared with A. anderssoni (Hennig) from Cockburn Island and 'Chlamys' mawsoni Fletcher from Iles Kerguelen. The source rock accumulated in fully marine, highly current-affected conditions. The collection is dominated by right valves, possibly because left valves are more susceptible to breakage and the effects of current winnowing. The locality may have subsided some 500 in since deposition. It lies immediately north of a straight, north-east-south-west trending lineament which may mark a major tectonic feature with left-lateral displacement of approximately 50 km, and provides a natural boundary within the Central Province of Kerguelen Plateau.</t>
  </si>
  <si>
    <t>Univ Tasmania, Sch Earth Sci, Hobart, Tas 7001, Australia; Univ Wollongong, Sch Earth &amp; Environm Sci, Wollongong, NSW 2522, Australia; Univ Tasmania, IASOS, Hobart, Tas 7001, Australia</t>
  </si>
  <si>
    <t>University of Tasmania; University of Wollongong; University of Tasmania</t>
  </si>
  <si>
    <t>Univ Tasmania, Sch Earth Sci, Private Box 79, Hobart, Tas 7001, Australia.</t>
  </si>
  <si>
    <t>P.Quilty@utas.edu.au</t>
  </si>
  <si>
    <t>Murray-Wallace, Colin V/U-5338-2017</t>
  </si>
  <si>
    <t>Murray-Wallace, Colin/0000-0002-3029-9141</t>
  </si>
  <si>
    <t>10.1017/S0954102004002160</t>
  </si>
  <si>
    <t>WOS:000224403300012</t>
  </si>
  <si>
    <t>Hall, BL; Perry, ER</t>
  </si>
  <si>
    <t>Variations in ice rafted detritus on beaches in the South Shetland Islands: a possible climate proxy</t>
  </si>
  <si>
    <t>Antarctica; Holocene; ice rafting; Livingston Island</t>
  </si>
  <si>
    <t>ANTARCTIC PENINSULA; GLACIAL HISTORY; HOLOCENE</t>
  </si>
  <si>
    <t>Raised beach ridges on Livingston Island of the South Shetland Islands display variations in both quantity and source of ice rafted detritus (IRD) received over time. Whereas the modem beach exhibits little IRD, all of which is of local origin, the next highest beach (similar to250 C-14 yr BP) has large amounts, some of which comes from as far away as the Antarctic Peninsula. Significant quantities of IRD also were deposited similar to 1750 C-14 yr BP. Both time periods coincide with generally cooler regional conditions and, at least in the case of the similar to250 yr old beach, local glacial advance. We suggest that the increases in ice rafting may reflect periods of greater glacial activity, altered ocean circulation, and/or greater iceberg preservation during the late Holocene. Limited IRD and lack of far-travelled erratics on the modem beach are both consistent with the ongoing warming trend in the Antarctic Peninsula region.</t>
  </si>
  <si>
    <t>Univ Maine, Climate Change Inst, Orono, ME 04469 USA; Univ Maine, Dept Earth Sci, Orono, ME 04469 USA</t>
  </si>
  <si>
    <t>University of Maine System; University of Maine Orono; University of Maine System; University of Maine Orono</t>
  </si>
  <si>
    <t>Univ Maine, Climate Change Inst, Orono, ME 04469 USA.</t>
  </si>
  <si>
    <t>10.1017/S0954102004002147</t>
  </si>
  <si>
    <t>WOS:000224403300013</t>
  </si>
  <si>
    <t>Kenneally, JR; Hughes, TJ</t>
  </si>
  <si>
    <t>Fracture and back stress along the Byrd Glacier flowband on the Ross Ice Shelf</t>
  </si>
  <si>
    <t>Antarctic; crevasse formation; glaciology</t>
  </si>
  <si>
    <t>East Antarctic ice discharged by Byrd Glacier continues as a flowband to the calving front of the Ross Ice Shelf. Flow across the grounding line changes from compressive to extensive as it leaves the fjord through the Transantarctic Mountains occupied by Byrd Glacier. Magnitudes of the longitudinal compressive stress that suppress opening of transverse tensile cracks are calculated for the flowband. As compressive back stresses diminish, initial depths and subsequent growth of these cracks, and their spacing, are calculated using theories of elastic and ductile fracture mechanics. Cracks are initially about one millimeter wide, with approximately 30 in depths and 20 in spacings for a back stress of 83 kPa at a distance of 50 kin beyond the fjord, where floating ice is 600 in thick. When these crevasses penetrate the whole ice thickness, they release tabular icebergs 20 kin to 100 kin wide, spaced parallel to the calving front of the Ross Ice Shelf</t>
  </si>
  <si>
    <t>Univ Maine, Climate Change Inst, Dept Phys, Orono, ME 04469 USA; Univ Maine, Climate Change Inst, Dept Earth Sci, Orono, ME 04469 USA</t>
  </si>
  <si>
    <t>Univ Maine, Climate Change Inst, Dept Phys, Orono, ME 04469 USA.</t>
  </si>
  <si>
    <t>10.1017/S0954102004002056</t>
  </si>
  <si>
    <t>WOS:000224403300014</t>
  </si>
  <si>
    <t>Basal melting along the floating part of Byrd Glacier</t>
  </si>
  <si>
    <t>Antarctic Ice Sheet; grounding line; mass balance; Ross Ice Shelf</t>
  </si>
  <si>
    <t>ANTARCTIC ICE-SHEET</t>
  </si>
  <si>
    <t>A mass balance calculation was made for the floating part of Byrd Glacier, using 1978-79 ice elevation and velocity data, over the 45 km of Byrd Glacier from its grounding line to where it leaves its fjord and merges with the Ross Ice Shelf. Smoothed basal melting rates were relatively uniform over this distance and averaged 12 +/- 2 m yr(-1).</t>
  </si>
  <si>
    <t>10.1017/S0954102004002068</t>
  </si>
  <si>
    <t>WOS:000224403300015</t>
  </si>
  <si>
    <t>Burns, DG; Camakaris, HM; Janssen, PH; Dyall-Smith, AL</t>
  </si>
  <si>
    <t>Combined use of cultivation-dependent and cultivation-independent methods indicates that members of most haloarchaeal groups in an Australian crystallizer pond are cultivable</t>
  </si>
  <si>
    <t>EXTREMELY HALOPHILIC ARCHAEA; IN-SITU HYBRIDIZATION; SOIL BACTERIA; SP-NOV; GEN-NOV; CULTURE; COMMUNITIES; SALTERN; VERRUCOMICROBIA; DIVERSITY</t>
  </si>
  <si>
    <t>Haloarchaea are the dominant microbial flora in hypersaline waters with near-saturating salt levels. The haloarchaeal diversity of an Australian saltern crystallizer pond was examined by use of a library of PCR-amplified 16S rRNA genes and by cultivation. High viable counts (10(6) CFU/ml) were obtained on solid media. Long incubation times (greater than or equal to8 weeks) appeared to be more important than the medium composition for maximizing viable counts and diversity. Of 66 isolates examined, all belonged to the family Halobacteriaceae, including members related to species of the genera Haloferax, Halorubrum, and Natronomonas. In addition, isolates belonging to a novel group (the ADL group), previously detected only as 16S rRNA genes in an Antarctic hypersaline lake (Deep Lake), were cultivated for the first time. The 16S rRNA gene library identified the following five main groups: Halorubrum groups I and 2 (49%), the SHOW (square haloarchaea of Walsby) group (33%),the ADL group (16%, and the Natronomonas group (2%). There were two significant differences between the organisms detected in cultivation and 16S rRNA sequence results. Firstly, Haloferax spp. were frequently isolated on plates (15% of all isolates) but were not detected in the 16S rRNA sequences. Control experiments indicated that a bias against Haloferax sequences in the generation of the 16S rRNA gene library was unlikely, suggesting that Haloferax spp. readily form colonies, even though they were not a dominant group. Secondly, while the 16S rRNA gene library identified the SHOW group as a major component of the microbial community, no isolates of this group were obtained. This inability to culture members of the SHOW group remains an outstanding problem in studying the ecology of hypersaline environments.</t>
  </si>
  <si>
    <t>Univ Melbourne, Dept Microbiol &amp; Immunol, Parkville, Vic 3010, Australia</t>
  </si>
  <si>
    <t>University of Melbourne</t>
  </si>
  <si>
    <t>Univ Melbourne, Dept Microbiol &amp; Immunol, Parkville, Vic 3010, Australia.</t>
  </si>
  <si>
    <t>mlds@unimelb.edu.au</t>
  </si>
  <si>
    <t>Janssen, Peter/0000-0002-1022-3502</t>
  </si>
  <si>
    <t>10.1128/AEM.70.9.5258-5265.2004</t>
  </si>
  <si>
    <t>854KI</t>
  </si>
  <si>
    <t>WOS:000223901100027</t>
  </si>
  <si>
    <t>Gooseff, MN; Mcknight, DM; Runkel, RL</t>
  </si>
  <si>
    <t>Reach-scale cation exchange controls on major ion chemistry of an Antarctic glacial meltwater stream</t>
  </si>
  <si>
    <t>AQUATIC GEOCHEMISTRY</t>
  </si>
  <si>
    <t>ion exchange; major ion chemistry; McMurdo dry valleys; reactive solute transport; stream tracer experiment</t>
  </si>
  <si>
    <t>MCMURDO DRY VALLEYS; SOLUTE TRANSPORT; HYPORHEIC EXCHANGE; WATER CHEMISTRY; TAYLOR VALLEY; VICTORIA LAND; POLAR DESERT; SEDIMENT; FRYXELL; MODEL</t>
  </si>
  <si>
    <t>The McMurdo dry valleys of Antarctica represent the largest of the ice-free areas on the Antarctic continent, containing glaciers, meltwater streams, and closed basin lakes. Previous geochemical studies of dry valley streams and lakes have addressed chemical weathering reactions of hyporheic substrate and geochemical evolution of dry valley surface waters. We examine cation transport and exchange reactions during a stream tracer experiment in a dry valley glacial meltwater stream. The injection solution was composed of dissolved Li+, Na+, K+, and Cl-. Chloride behaved conservatively in this stream, but Li+, Na+, and K+ were reactive to varying degrees. Mass balance analysis indicates that relative to Cl-, Li+ and K+ were taken up in downstream transport and Na+ was released. Simulations of conservative and reactive (first-order uptake or generation) solute transport were made with the OTIS (one-dimensional solute transport with inflow and storage) model. Among the four experimental reaches of Green Creek, solute transport simulations reveal that Li+ was removed from stream water in all four reaches, K+ was released in two reaches, taken up in one reach, and Na+ was released in all four reaches. Hyporheic sediments appear to be variable with uptake of Li+ in two reaches, uptake of K+ in one reach, release of K+ in two reaches, and uptake of Na+ in one reach. Mass balances of the conservative and reactive simulations show that from 1.05 to 2.19 moles of Li+ was adsorbed per reach, but less than 0.3 moles of K+ and less than 0.9 moles of Na+ were released per reach. This suggests that either ( 1) exchange of another ion which was not analyzed in this experiment or ( 2) that both ion exchange and sorption control inorganic solute transport. The elevated cation concentrations introduced during the experiment are typical of initial flows in each flow season, which flush accumulated dry salts from the streambed. We propose that the bed sediments ( which compose the hyporheic zone) modulate the flushing of these salts during initial flows each season, due to ion exchange and sorption reactions.</t>
  </si>
  <si>
    <t>Utah State Univ, Dept Aquat Watershed &amp; Earth Resources, Logan, UT 84322 USA; Univ Colorado, Inst Arctic &amp; Alpine Res, Boulder, CO 80309 USA; US Geol Survey, Lakewood, CO 80225 USA</t>
  </si>
  <si>
    <t>Utah System of Higher Education; Utah State University; University of Colorado System; University of Colorado Boulder; United States Department of the Interior; United States Geological Survey</t>
  </si>
  <si>
    <t>Gooseff, MN (corresponding author), Utah State Univ, Dept Aquat Watershed &amp; Earth Resources, Logan, UT 84322 USA.</t>
  </si>
  <si>
    <t>michael.gooseff@usu.edu</t>
  </si>
  <si>
    <t>Gooseff, Michael N/N-6087-2015; Gooseff, Michael/B-9273-2008</t>
  </si>
  <si>
    <t>Gooseff, Michael N/0000-0003-4322-8315; MCKNIGHT, DIANE/0000-0002-4171-1533</t>
  </si>
  <si>
    <t>KLUWER ACADEMIC PUBL</t>
  </si>
  <si>
    <t>1380-6165</t>
  </si>
  <si>
    <t>AQUAT GEOCHEM</t>
  </si>
  <si>
    <t>Aquat. Geochem.</t>
  </si>
  <si>
    <t>SEP-DEC</t>
  </si>
  <si>
    <t>10.1007/s10498-004-2260-4</t>
  </si>
  <si>
    <t>868JQ</t>
  </si>
  <si>
    <t>WOS:000224910300003</t>
  </si>
  <si>
    <t>Soina, VS; Mulyukin, AL; Demkina, EV; Vorobyova, EA; El-Registan, GI</t>
  </si>
  <si>
    <t>The structure of resting bacterial populations in soil and subsoil permafrost</t>
  </si>
  <si>
    <t>ASTROBIOLOGY</t>
  </si>
  <si>
    <t>transmission and scanning electron microscopy permafrost; cyst-like resting cells; dwarf forms; freezing-thawing processes</t>
  </si>
  <si>
    <t>MICROORGANISMS; CELLS</t>
  </si>
  <si>
    <t>The structure of individual cells in microbial populations in situ of the Arctic and Antarctic permafrost was studied by scanning and transmission electron microscopy methods and compared with that of cyst-like resting forms generated under special conditions by the non-spore-forming bacteria Arthrobacter and Micrococcus isolated from the permafrost. Electron microscopy examination of microorganisms in situ revealed several types of bacterial cells having no signs of damage, including dwarf curved forms similar to nanoforms. Intact bacterial cells in situ and frozen cultures of the permafrost isolates differed from vegetative cells by thickened cell walls, the altered structure of cytoplasm, and the compact nucleoid, and were similar in these features to cyst-like resting forms of non-spore-forming permafrost bacterial strains of Arthrobacter and Micrococcus spp. Cyst-like cells, being resistant to adverse external factors, are regarded as being responsible for survival of the non-spore-formers under prolonged exposure to subzero temperatures and can be a target to search for living microorganisms in natural environments both on the Earth and on extraterrestrial bodies.</t>
  </si>
  <si>
    <t>Russian Acad Sci, Inst Microbiol, Moscow 117312, Russia; Moscow MV Lomonosov State Univ, Fac Soil Sci, Moscow 117234, Russia; Inst Biol &amp; Physicochem Problems Soil Sci, Pushchino, Moscow Region, Russia</t>
  </si>
  <si>
    <t>Russian Academy of Sciences; Research Center of Biotechnology RAS; Lomonosov Moscow State University; Russian Academy of Sciences; Pushchino Scientific Center for Biological Research (PSCBI) of the Russian Academy of Sciences; Institute of Physicohemical &amp; Biological Problems of Soil Science</t>
  </si>
  <si>
    <t>Russian Acad Sci, Inst Microbiol, Pr 60 Letiya Oktyabrya 7-2, Moscow 117312, Russia.</t>
  </si>
  <si>
    <t>andylm@rambler.ru</t>
  </si>
  <si>
    <t>Mulyukin, A./AAU-1036-2021</t>
  </si>
  <si>
    <t>Vorob'eva, Elena A./0000-0002-4636-9933; Biopoly, Labo/0000-0002-5437-0723</t>
  </si>
  <si>
    <t>MARY ANN LIEBERT, INC</t>
  </si>
  <si>
    <t>NEW ROCHELLE</t>
  </si>
  <si>
    <t>140 HUGUENOT STREET, 3RD FL, NEW ROCHELLE, NY 10801 USA</t>
  </si>
  <si>
    <t>1531-1074</t>
  </si>
  <si>
    <t>1557-8070</t>
  </si>
  <si>
    <t>Astrobiology</t>
  </si>
  <si>
    <t>FAL</t>
  </si>
  <si>
    <t>10.1089/ast.2004.4.345</t>
  </si>
  <si>
    <t>Astronomy &amp; Astrophysics; Biology; Geosciences, Multidisciplinary</t>
  </si>
  <si>
    <t>Astronomy &amp; Astrophysics; Life Sciences &amp; Biomedicine - Other Topics; Geology</t>
  </si>
  <si>
    <t>854TJ</t>
  </si>
  <si>
    <t>WOS:000223925900003</t>
  </si>
  <si>
    <t>Kim, SJ</t>
  </si>
  <si>
    <t>A coupled model simulation of ocean thermohaline properties of the last glacial maximum</t>
  </si>
  <si>
    <t>ATMOSPHERE-OCEAN</t>
  </si>
  <si>
    <t>ATLANTIC DEEP-WATER; ANTARCTIC BOTTOM WATER; NORTH-ATLANTIC; WEDDELL SEA; CIRCULATION; CLIMATE; ICE; TEMPERATURE; PART; EQUILIBRIUM</t>
  </si>
  <si>
    <t>The temperature and salinity of the ocean during the last glacial maximum (LGM) are simulated using a coupled ocean-atmosphere-sea-ice climate model. The imposition of boundary conditions representitive of the LGM leads to deep ocean heat loss to the atmosphere in high latitude convection regions through active vertical mixing and associated turbulent heat fluxes with deepwater temperatures approaching the freezing point. The LGM conditions also modify the freshwater distribution at the ocean surface and cause a marked change in the ocean convection, overturning circulation, and ocean salinity distribution. In the LGM, the ocean becomes substantially fresher in the Atlantic basin due to a freshening of the northern North Atlantic and an associated reduction in North Atlantic Deep Water formation, while the most saline water mass is found in the Southern Ocean as a result of the increase in the formation of sea ice and the drier climate around Antarctica. The LGM thermohaline properties simulated by the coupled model are in reasonable agreement with palaeoclimatic proxy evidence.</t>
  </si>
  <si>
    <t>Korea Polar Res Inst, KORDI, Seoul 425600, South Korea</t>
  </si>
  <si>
    <t>Korea Institute of Ocean Science &amp; Technology (KIOST); Korea Polar Research Institute (KOPRI)</t>
  </si>
  <si>
    <t>Kim, SJ (corresponding author), Korea Polar Res Inst, KORDI, Ansan POB 29, Seoul 425600, South Korea.</t>
  </si>
  <si>
    <t>seongjkim@kordi.re.kr</t>
  </si>
  <si>
    <t>CANADIAN METEOROLOGICAL OCEANOGRAPHIC SOC</t>
  </si>
  <si>
    <t>OTTAWA</t>
  </si>
  <si>
    <t>150 LOUIS PASTEUR PVT., STE 112, MCDONALD BUILDING, OTTAWA, ONTARIO K1N 6N5, CANADA</t>
  </si>
  <si>
    <t>0705-5900</t>
  </si>
  <si>
    <t>ATMOS OCEAN</t>
  </si>
  <si>
    <t>Atmos.-Ocean</t>
  </si>
  <si>
    <t>10.3137/ao.420305</t>
  </si>
  <si>
    <t>857MP</t>
  </si>
  <si>
    <t>WOS:000224121400005</t>
  </si>
  <si>
    <t>Alvalá, PC; Boian, C; Kirchhoff, VWJH</t>
  </si>
  <si>
    <t>Measurements of CH4 and CO during ship cruises in the South Atlantic</t>
  </si>
  <si>
    <t>methane; carbon monoxide; latitudinal variation; marine boundary layer</t>
  </si>
  <si>
    <t>TRANSPORT; METHANE</t>
  </si>
  <si>
    <t>Shipboard air grab samplings were made in November 2000, and in March 2001, to study the distribution of the atmospheric CH4 and CO in the South Atlantic region. The observations were performed in two campaigns during the cruise between Rio de Janeiro (22degrees54'S, 43degrees10'W) and the Brazilian Comandante Ferraz Antarctic Station (62degrees05'S, 58degrees24'W), and the cruise back to Rio de Janeiro. The sampling was performed using two canisters filled in a sequential way for each sampling day. Most of the average mixing ratios of CH4 for November 2000 were slightly lower than the expected values for this region, with an average of 1707.3 +/- 8.4 ppbv, without a clear latitudinal tendency. The mixing ratios for CO presented averages very near to the expected values for that region, with an average of 52.7 +/- 6.5 ppbv, showing a latitudinal variation as observed by other studies. For March 2001, the CH4 average mixing ratios showed a somewhat lower latitudinal spread than that observed in November 2000, with two sampling points showing lower mixing ratios in comparison with the other. However, the average of 1688.8 +/- 7.3 ppbv is very near that observed at the same latitude by other studies. The CO average mixing ratios presented a very low dispersion, with an average of 41.1 +/- 7.6 ppbv, with a very clear latitudinal variation. Both trace gases showed a seasonal difference between the two periods, which was very clear in the ratio CH4/CO. To determine the origin of sampled air masses, back trajectories for 48 h were calculated for isentropic surfaces of 1.5 km altitude or lower. With the exception of some trajectories between the latitudes of 30degreesS and 34degreesS, which were originated in the continent, most of them had origin from west direction, beginning in the Pacific Ocean. (C) 2004 Elsevier Ltd. All rights reserved.</t>
  </si>
  <si>
    <t>Inst Nacl Pesquisas Espaciais, BR-12201970 Sao Jose Dos Campos, SP, Brazil</t>
  </si>
  <si>
    <t>Instituto Nacional de Pesquisas Espaciais (INPE)</t>
  </si>
  <si>
    <t>Inst Nacl Pesquisas Espaciais, BR-12201970 Sao Jose Dos Campos, SP, Brazil.</t>
  </si>
  <si>
    <t>Alvalá, Plinio/C-2685-2012</t>
  </si>
  <si>
    <t>10.1016/j.atmosenv.2004.03.042</t>
  </si>
  <si>
    <t>843XQ</t>
  </si>
  <si>
    <t>WOS:000223121000017</t>
  </si>
  <si>
    <t>Watkins, AB</t>
  </si>
  <si>
    <t>Seasonal climate summary southern hemisphere (spring 2003): neutral conditions remain in the tropical Pacific, but dry conditions dominate northeast Australia</t>
  </si>
  <si>
    <t>AUSTRALIAN METEOROLOGICAL MAGAZINE</t>
  </si>
  <si>
    <t>EL-NINO; OSCILLATION; BLOCKING</t>
  </si>
  <si>
    <t>Atmospheric and oceanic conditions in the southern hemisphere are reviewed for the 2003 austral spring season. Particular emphasis is given to the Australian and Pacific regions. The 2002-03 El Nino event ended in autumn. with conditions remaining neutral during winter and then through spring. The neutral spring El Nino-Southern Oscillation (ENSO) state remained.. despite equatorial ocean surface and sub-surface temperature anomalies in the tropical Pacific increasing slightly during the season. Convection, however. was confined to the western tropical Pacific. suggesting that the slightly warmer than normal oceanic conditions failed to significantly couple with the atmosphere. At the high latitudes. the Antarctic ozone hole reached 28 million km(2) a maximum size comparable to the record area observed in 2000. Over Australia, the neutral ENSO conditions failed to bring even average rainfall to a significant portion of the eastern half of the continent, with only below average rainfall totals for large areas of Queensland and the Northern Territory, as well as parts of northern and central New South Wales. Both maximum and minimum temperatures were generally above average in the north and east of the country, whilst in the south temperatures were cooler than average.</t>
  </si>
  <si>
    <t>Bur Meteorol, Natl Climate Ctr, Melbourne, Vic 3001, Australia</t>
  </si>
  <si>
    <t>Bureau of Meteorology - Australia</t>
  </si>
  <si>
    <t>Watkins, AB (corresponding author), Bur Meteorol, Natl Climate Ctr, GPO Box 1289K, Melbourne, Vic 3001, Australia.</t>
  </si>
  <si>
    <t>a.watkins@bom.gov.au</t>
  </si>
  <si>
    <t>AUSTRALIAN BUREAU METEOROLOGY</t>
  </si>
  <si>
    <t>MELBOURNE</t>
  </si>
  <si>
    <t>GPO BOX 1289, MELBOURNE, VIC 3001, AUSTRALIA</t>
  </si>
  <si>
    <t>0004-9743</t>
  </si>
  <si>
    <t>AUST METEOROL MAG</t>
  </si>
  <si>
    <t>Aust. Meteorol. Mag.</t>
  </si>
  <si>
    <t>879KT</t>
  </si>
  <si>
    <t>WOS:000225717400007</t>
  </si>
  <si>
    <t>Baker, GB; Cunningham, RB; Murray, W</t>
  </si>
  <si>
    <t>Are red-footed boobies Sula sula at risk from harvesting by humans on Cocos (Keeling) Islands, Indian Ocean?</t>
  </si>
  <si>
    <t>red-footed booby; Sula sula; seabird harvesting; Cocos (Keeling) islands; Indian ocean</t>
  </si>
  <si>
    <t>The red-footed booby, Sula sula, has been hunted in the Cocos (Keeling) Islands, eastern Indian Ocean, since first settlement in 1827. Formerly present throughout the islands, an estimated 30,000 pairs now breed only on isolated and uninhabited North Keeling Island. Despite legislative protection, illegal hunting for food remains a major conservation threat. Informants estimated that 2000-3000 birds are killed in most years and possibly as many as 10,000 in some years. Analysis of nest count data collected between 1985 and 2002 to assess long-term population trends showed no evidence of decline in nesting density. There was large inter-annual variation with substantial fluctuations which tended to be greater following significant cyclonic events. These results indicate that the level of illegal harvest during the study period has not negatively impacted the booby nesting population. Future management of seabird harvesting requires improved knowledge on the population's capacity to sustain harvesting, together with increased enforcement activity to control illegal harvest, and enhanced education programs to encourage change in community attitudes. Crown Copyright (C) 2003 Published by Elsevier Ltd. All rights reserved.</t>
  </si>
  <si>
    <t>Australian Antarctic Div, Kingston, Tas 7050, Australia; Australian Natl Univ, Ctr Resource &amp; Environm Sci, Canberra, ACT 0200, Australia; Environm Australia, Pk Australia N, Cocos Keeling Isl 6799, Australia</t>
  </si>
  <si>
    <t>Australian Antarctic Division; Australian National University</t>
  </si>
  <si>
    <t>Baker, GB (corresponding author), Australian Antarctic Div, Channel Highway, Kingston, Tas 7050, Australia.</t>
  </si>
  <si>
    <t>barry.baker@aad.gov.au</t>
  </si>
  <si>
    <t>Baker, G. Barry/0000-0003-4766-8182</t>
  </si>
  <si>
    <t>10.1016/j.biocon.2003.11.018</t>
  </si>
  <si>
    <t>833UZ</t>
  </si>
  <si>
    <t>WOS:000222367100013</t>
  </si>
  <si>
    <t>Flato, GM</t>
  </si>
  <si>
    <t>Participating CMIP Modelling Grp</t>
  </si>
  <si>
    <t>Sea-ice and its response to CO2 forcing as simulated by global climate models</t>
  </si>
  <si>
    <t>CLIMATE DYNAMICS</t>
  </si>
  <si>
    <t>OCEAN-ATMOSPHERE MODEL; COUPLED MODEL; VARIABILITY; THICKNESS; VERSION</t>
  </si>
  <si>
    <t>The simulation of sea-ice in global climate models participating in the Coupled Model Intercomparison Project (CMIP1 and CMIP2) is analyzed. CMIP1 simulations are of the unpertubed control climate whereas in CMIP2, all models have been forced with the same 1% yr(-1) increase in CO2 concentration, starting from a near equilibrium initial condition. These simulations are not intended as forecasts of climate change, but rather provide a means of evaluating the response of current climate models to the same forcing. The difference in modeled response therefore indicates the range (or uncertainty) in model sensitivity to greenhouse gas and other climatic perturbations. The results illustrate a wide range in the ability of climate models to reproduce contemporary sea-ice extent and thickness; however, the errors are not obviously related to the manner in which sea-ice processes are represented in the models (e.g. the inclusion or neglect of sea-ice motion). The implication is that errors in the ocean and atmosphere components of the climate model are at least as important. There is also a large range in the simulated sea-ice response to CO2 change, again with no obvious stratification in terms of model attributes. In contrast to results obtained earlier with a particular model, the CMIP ensemble yields rather mixed results in terms of the dependence of high-latitude warming on sea-ice initial conditions. There is an indication that, in the Arctic, models that produce thick ice in their control integration exhibit less warming than those with thin ice. The opposite tendency appears in the Antarctic (albeit with low statistical significance). There is a tendency for models with more extensive ice coverage in the Southern Hemisphere to exhibit greater Antarctic warming. Results for the Arctic indicate the opposite tendency (though with low statistical significance).</t>
  </si>
  <si>
    <t>Canadian Ctr Climate Modelling, Victoria, BC, Canada; Anal Meteorol Serv Canada, Victoria, BC, Canada</t>
  </si>
  <si>
    <t>Environment &amp; Climate Change Canada; Canadian Centre for Climate Modelling &amp; Analysis (CCCma); Environment &amp; Climate Change Canada; Meteorological Service of Canada</t>
  </si>
  <si>
    <t>Canadian Ctr Climate Modelling, Victoria, BC, Canada.</t>
  </si>
  <si>
    <t>Greg.flato@ec.gc.ca</t>
  </si>
  <si>
    <t>Flato, Gregory M/K-6711-2015</t>
  </si>
  <si>
    <t>0930-7575</t>
  </si>
  <si>
    <t>1432-0894</t>
  </si>
  <si>
    <t>CLIM DYNAM</t>
  </si>
  <si>
    <t>Clim. Dyn.</t>
  </si>
  <si>
    <t>10.1007/s00382-004-0436-7</t>
  </si>
  <si>
    <t>859NF</t>
  </si>
  <si>
    <t>WOS:000224274500001</t>
  </si>
  <si>
    <t>Delmonte, B; Petit, JR; Andersen, KK; Basile-Doelseh, I; Maggi, V; Lipenkov, VY</t>
  </si>
  <si>
    <t>Dust size evidence for opposite regional atmospheric circulation changes over east Antarctica during the last climatic transition</t>
  </si>
  <si>
    <t>POLAR ICE CORES; DOME-C; MICROPARTICLE CONCENTRATION; SOUTHERN-HEMISPHERE; MINERAL DUST; RECORD; VOSTOK; AEROSOL; ORIGIN</t>
  </si>
  <si>
    <t>Three east Antarctic ice cores (Dome B, EPICA-Dome C and Komsomolskaia) give evidence for a uniform dust input to the polar plateau during the last glacial maximum (LGM)/Holocene transition (20 to 10 kyr BP) and the Sr-87/Sr-86 versus Nd-143/Nd-144 isotopic signature of the mineral particles highlights a common provenance from southern South America at that time. However, the size distribution of dust from the three ice cores highlights important differences within the east Antarctic during the LGM and shows clearly opposite regional trends during the climatic transition. Between Dome B and Dome C the timing of these changes is also different. A geographical diversity also arises from the different phasing of the short-term (multi-secular scale) dust size oscillations that are superposed at all sites on the main trends of glacial to interglacial changes. We hypothesize the dust grading is controlled by size fractionation inresponse to its atmospheric pathway, either in terms of horizontal trajectory or in altitude of transport. Such mechanism is supported also by the dust size changes observed during a volcanic event recorded in Vostok ice. Ice core dust size data suggest preferential upper air subsidence over the EDG-KMS region and easier penetration of relatively lower air masses to the DB area during the LGM. At the end of the last glacial period and during the climatic transition the region of relatively higher subsidence progressively moved southward. The scenario proposed, supported also by the LGM/Holocene regional changes of snow accumulation, likely operates even at sub-millennial time scale.</t>
  </si>
  <si>
    <t>Ecole Natl Super Electrochim &amp; Electrome Grenoble, Thermodynam &amp; Physicochim Met Lab, CNRS, LGGE, F-38402 St Martin Dheres, France; Univ Milano Bicocca, Dipartimento Sci Ambientali, I-20126 Milan, Italy; Univ Siena, Dept Geol Sci, I-53100 Siena, Italy; Univ Copenhagen, Niels Bohr Inst Astron Phys &amp; Geophys, DK-1168 Copenhagen, Denmark; IRD, F-97492 Sainte Clotilde, France; Arctic &amp; Antarctic Res Inst, St Petersburg 199397, Russia</t>
  </si>
  <si>
    <t>Communaute Universite Grenoble Alpes; Institut National Polytechnique de Grenoble; Universite Grenoble Alpes (UGA); Centre National de la Recherche Scientifique (CNRS); University of Milano-Bicocca; University of Siena; University of Copenhagen; Niels Bohr Institute; Institut de Recherche pour le Developpement (IRD); Arctic &amp; Antarctic Research Institute</t>
  </si>
  <si>
    <t>Delmonte, B (corresponding author), Ecole Natl Super Electrochim &amp; Electrome Grenoble, Thermodynam &amp; Physicochim Met Lab, CNRS, LGGE, BP96, F-38402 St Martin Dheres, France.</t>
  </si>
  <si>
    <t>bdelmonte@nest.it</t>
  </si>
  <si>
    <t>Delmonte, Barbara/L-2555-2015; Maggi, Valter/E-1878-2014; Basile, Isabelle IBD/B-4173-2010; Maggi, Valter/AAX-5728-2020; Lipenkov, Vladimir/Q-8262-2016; Andersen, Katrine Krogh/B-4082-2016</t>
  </si>
  <si>
    <t>Delmonte, Barbara/0000-0002-9074-2061; Maggi, Valter/0000-0001-6287-1213; Lipenkov, Vladimir/0000-0003-4221-5440; Andersen, Katrine Krogh/0000-0003-4178-2195</t>
  </si>
  <si>
    <t>10.1007/s00382-004-0450-9</t>
  </si>
  <si>
    <t>WOS:000224274500012</t>
  </si>
  <si>
    <t>Wainer, I; Taschetto, A; Otto-Bliesner, B; Brady, E</t>
  </si>
  <si>
    <t>Numerical study of the impact of greenhouse gases on the South Atlantic Ocean climatology</t>
  </si>
  <si>
    <t>SEA-SURFACE TEMPERATURE; SOLAR IRRADIANCE; SYSTEM MODEL; WORLD OCEAN; ICE; CIRCULATION; INCREASE; TRENDS; CO2; CCM3</t>
  </si>
  <si>
    <t>The National Center for Atmospheric Research Community Climate System Model (NCAR CCSM, version 3) numerical coupled model is used to understand the climatic impacts on the South Atlantic Ocean due to industrialization and consequent increase of greenhouse gas emission. Two experiments are analyzed: the first one with trace/greenhouse gases at pre-industrial levels and a second one where present day levels were adopted. The results show that the annual averaged sea surface temperature, sea level pressure and barotropic transport intensify and precipitation weakens from one period to the next. With respect to the seasonal cycle, the sea surface temperature warms relative to the pre-industrial period mainly during the winter and spring; while sea level pressure presents higher values in summer and autumn. Barotropic transport has revealed significant differences between the two experiments at middle and high latitudes. Increased transport is associated with the intensification of the Subtropical Gyre and the Antarctic Circumpolar Current. Changes in barotropic transport and sea surface temperature leads to an intensification of the Polar Front and associated gradients. Examination of the precipitation field differences showed an increase over the Amazon region and along the South Atlantic Convergence Zone, during summer. The changes in sea surface temperature, sea-level pressure and barotropic transport from the pre-industrial period to the present day were more pronounced at high latitudes. These reach almost 1 degreesC and 11Sv between 45-60degrees S, respectively. Major differences in precipitation are confined to the tropics.</t>
  </si>
  <si>
    <t>Univ Sao Paulo, Dept Phys Oceanog, Sao Paulo, Brazil; Natl Ctr Atmospher Res, Boulder, CO 80307 USA</t>
  </si>
  <si>
    <t>Universidade de Sao Paulo; National Center Atmospheric Research (NCAR) - USA</t>
  </si>
  <si>
    <t>Univ Sao Paulo, Dept Phys Oceanog, Sao Paulo, Brazil.</t>
  </si>
  <si>
    <t>wainer@usp.br</t>
  </si>
  <si>
    <t>Otto-Bliesner, Bette/AAY-7691-2020; Taschetto, Andrea S/H-2050-2011; WAINER, ILANA/B-4540-2011</t>
  </si>
  <si>
    <t>Taschetto, Andrea/0000-0001-6020-1603; WAINER, ILANA/0000-0003-3784-623X</t>
  </si>
  <si>
    <t>Fundacao de Amparo a Pesquisa do Estado de Sao Paulo (FAPESP) [02/01211-0, 00/02958-7] Funding Source: FAPESP</t>
  </si>
  <si>
    <t>Fundacao de Amparo a Pesquisa do Estado de Sao Paulo (FAPESP)(Fundacao de Amparo a Pesquisa do Estado de Sao Paulo (FAPESP))</t>
  </si>
  <si>
    <t>1573-1480</t>
  </si>
  <si>
    <t>10.1023/B:CLIM.0000043143.32099.ec</t>
  </si>
  <si>
    <t>857PN</t>
  </si>
  <si>
    <t>WOS:000224130900013</t>
  </si>
  <si>
    <t>Ikumi, S; Sawai, K; Takeuchi, Y; Iwayama, H; Ishikawa, H; Ohsumi, S; Fukui, Y</t>
  </si>
  <si>
    <t>Interspecies somatic cell nuclear transfer for in vitro production of Antarctic minke whale (Balaenoptera bonaerensis) embryos</t>
  </si>
  <si>
    <t>CLONING AND STEM CELLS</t>
  </si>
  <si>
    <t>ACUTOROSTRATA FOLLICULAR OOCYTES; FETAL FIBROBLASTS; BOVINE OOCYTES; ACTIVATION; ADULT; TRANSPLANTATION; FERTILIZATION; MATURATION; MICROINJECTION; INJECTION</t>
  </si>
  <si>
    <t>The objective of this study was to investigate the developmental ability of the whale embryos with interspecies somatic cell nuclear transfer (SCNT) in comparison with bovine or porcine SCNT embryos and parthenotes. There were no significant differences among the proportions of pseud-pronucleus (PPN) formation of whale SCNT oocytes, intraspecies SCNT oocytes and parethenotes. Furthermore, no significant difference was found in the cleavage rates of whale SCNT embryos between 6-dimethylaminopurin (DMAP) and cycloheximide (CHX) as secondary activation treatments. In effects of different donor cell types (viable or non-viable cells) on whale SCNT embryos, there was no significant difference in the cleavage rates of whale SCNT embryos between the two cell types. Two- to four-cell stages of whale SCNT embryos were obtained, but none of the embryos reached the blastocyst stage. The cleaved whale embryos were confirmed to have whale genomic DNA. From the results, it was shown that both bovine and porcine oocyte cytoplasms have the potential to form PPN and to produce cleaved whale interspecies SCNT embryos, regardless of the survivability of donor cells.</t>
  </si>
  <si>
    <t>Obihiro Univ Agr &amp; Vet Med, Lab Anim Reprod, Obihiro, Hokkaido 0808555, Japan; Hokkaido Anim Res Ctr, Mol Biotechnol Lab, Shintoku, Japan; Inst Cetacean Res, Tokyo, Japan</t>
  </si>
  <si>
    <t>Obihiro University of Agriculture &amp; Veterinary Medicine</t>
  </si>
  <si>
    <t>Obihiro Univ Agr &amp; Vet Med, Lab Anim Reprod, Obihiro, Hokkaido 0808555, Japan.</t>
  </si>
  <si>
    <t>fukui@obihiro.ac.jp</t>
  </si>
  <si>
    <t>Iwayama, Hiroshi/AAN-1810-2021</t>
  </si>
  <si>
    <t>Iwayama, Hiroshi/0000-0001-8176-8887; Iwayama, Hiroshi/0000-0002-5992-5281</t>
  </si>
  <si>
    <t>1536-2302</t>
  </si>
  <si>
    <t>CLONING STEM CELLS</t>
  </si>
  <si>
    <t>Cloning Stem Cells</t>
  </si>
  <si>
    <t>10.1089/clo.2004.6.284</t>
  </si>
  <si>
    <t>Cell &amp; Tissue Engineering; Biotechnology &amp; Applied Microbiology; Genetics &amp; Heredity</t>
  </si>
  <si>
    <t>Cell Biology; Biotechnology &amp; Applied Microbiology; Genetics &amp; Heredity</t>
  </si>
  <si>
    <t>862TA</t>
  </si>
  <si>
    <t>WOS:000224512700007</t>
  </si>
  <si>
    <t>Radford, CA; Marsden, ID; Davison, W</t>
  </si>
  <si>
    <t>Temporal variation in the specific dynamic action of juvenile New Zealand rock lobsters, Jasus edwardsii</t>
  </si>
  <si>
    <t>COMPARATIVE BIOCHEMISTRY AND PHYSIOLOGY A-MOLECULAR &amp; INTEGRATIVE PHYSIOLOGY</t>
  </si>
  <si>
    <t>Jasus edwardsii; specific dynamic action; aquaculture; oxygen consumption; ammonia excretion</t>
  </si>
  <si>
    <t>PENAEUS-ESCULENTUS HASWELL; OXYGEN-CONSUMPTION; PROTEIN-SYNTHESIS; ACTION SDA; SUPRALITTORAL ISOPOD; NITROGEN-EXCRETION; AMMONIA EXCRETION; LIGIA-PALLASII; METABOLIC-RATE; ANTARCTIC-PLUNDERFISH</t>
  </si>
  <si>
    <t>To enhance the on-growing of Jasus edwardsii in culture, it is important to understand the feeding physiology of juveniles. In crustaceans, there is a loss of energy and an increase in oxygen consumption (specific dynamic action or SDA) associated with feeding. The present research measured the SDA of juvenile J. edwardsii fed either in the morning or at night held at 15 degreesC. Closed box respirometry was used to measure oxygen consumption (MO2) and ammonia excretion in juvenile lobsters. Juveniles exhibited a nocturnal rhythm in both MO2 and ammonia excretion. The factorial rise in MO2 (1.58 +/- 0.03 times) for lobsters fed in the morning was significantly less than lobsters fed at night (1.80 +/- 0.01 times). Lobsters fed in the morning had a significantly shorter SDA (30 +/- 1.2 h) response compared to lobsters fed at night (36 +/- 1 h). Energy loss as a result of digestion was less for lobsters fed in the morning. Therefore, if juvenile J. edwardsii are fed in the morning, they could optimise the energy content of the meal and this could result in increased growth. (C) 2004 Elsevier Inc. All rights reserved.</t>
  </si>
  <si>
    <t>Univ Canterbury, Sch Biol Sci, Christchurch 1, New Zealand</t>
  </si>
  <si>
    <t>University of Canterbury</t>
  </si>
  <si>
    <t>Univ Canterbury, Sch Biol Sci, Private Bag 4800, Christchurch 1, New Zealand.</t>
  </si>
  <si>
    <t>islay.marsden@canterbury.ac.nz</t>
  </si>
  <si>
    <t>Radford, Craig/0000-0001-7949-9497</t>
  </si>
  <si>
    <t>1095-6433</t>
  </si>
  <si>
    <t>1531-4332</t>
  </si>
  <si>
    <t>COMP BIOCHEM PHYS A</t>
  </si>
  <si>
    <t>Comp. Biochem. Physiol. A-Mol. Integr. Physiol.</t>
  </si>
  <si>
    <t>10.1016/j.cbpb.2004.02.015</t>
  </si>
  <si>
    <t>Biochemistry &amp; Molecular Biology; Physiology; Zoology</t>
  </si>
  <si>
    <t>864WR</t>
  </si>
  <si>
    <t>WOS:000224664200001</t>
  </si>
  <si>
    <t>Grove, TJ; Sidell, BD</t>
  </si>
  <si>
    <t>Fatty acyl CoA synthetase from Antarctic notothenioid fishes may influence substrate specificity of fat oxidation</t>
  </si>
  <si>
    <t>fatty acid specificity; fatty acyl CoA synthetase; lipid metabolism; notothenioid; oxidative skeletal muscle; primary structure</t>
  </si>
  <si>
    <t>LONG-CHAIN; LIPID-CONTENT; ACID; HEART; ADAPTATION; INCREASES; SEQUENCE; TISSUES</t>
  </si>
  <si>
    <t>Antarctic notothenioid fishes possess large lipid stores that are important fuels for aerobic metabolism. Oxidative muscle tissues of these animals oxidize long-chain mono-unsaturated fatty acids more readily than saturated fatty acids. The mechanistic basis(es) for the substrate specificity of their fatty acid-oxidizing pathway is unknown. We examined the substrate specificity of fatty acyl coenzyme A synthetase (FACS) to determine whether the enzyme contributes to targeting unsaturated fatty acids for preferential transport into mitochondria as fuels for beta-oxidation. Maximal activities of FACS were measured in isolated mitochondria from Notothenia coriiceps and Chaenocephalus aceratus oxidative skeletal muscles in the presence of fatty acids differing in chain lengths and degrees of unsaturation. With the exception of C-22:6, maximal activities were greater with unsaturated substrates than with C-16:0, a saturated fatty acid. Monoenoic fatty acids did not produce the highest activities. Predicted amino acid sequences of FACS from Antarctic C. aceratus, Gobionotothen gibberifrons, and N. coriiceps and sub-Antarctic Notothenia angustata and Eleginops maclovinus were determined to identify amino acid candidates that may be important for determining the substrate specificity of FACS. Substitutions cysteine(548) and polar threonine(552) within the putative fatty acid binding pocket may contribute to preference for unsaturated fatty acyl substrates compared to saturated fatty acids. (C) 2004 Elsevier Inc. All rights reserved.</t>
  </si>
  <si>
    <t>Univ Maine, Sch Marine Sci, Orono, ME 04469 USA</t>
  </si>
  <si>
    <t>University of Maine System; University of Maine Orono</t>
  </si>
  <si>
    <t>Florida State Univ, Dept Biol Sci, Bio Unit 1, Tallahassee, FL 32306 USA.</t>
  </si>
  <si>
    <t>grove@bio.fsu.edu</t>
  </si>
  <si>
    <t>10.1016/j.cbpc.2004.06.005</t>
  </si>
  <si>
    <t>858DR</t>
  </si>
  <si>
    <t>WOS:000224171000006</t>
  </si>
  <si>
    <t>Cardiac nitric oxide system in the extremes: the example of antarctic teleosts</t>
  </si>
  <si>
    <t>Univ Calabria, Calabria, Italy.</t>
  </si>
  <si>
    <t>WOS:000224171000046</t>
  </si>
  <si>
    <t>Panasyuk, MI; Kuznetsov, SN; Lazutin, LL; Avdyushin, SI; Alexeev, II; Ammosov, PP; Antonova, AE; Baishev, DG; Belenkaya, ES; Beletsky, AB; Belov, AV; Benghin, VV; Bobrovnikov, SY; Bondarenko, VA; Boyarchuk, KA; Veselovsky, IS; Vyushkova, TY; Gavrilieva, GA; Gaidash, SP; Ginzburg, EA; Denisov, YI; Dmitriev, AV; Zherebtsov, GA; Zelenyi, LM; Ivanov-Kholodny, GS; Kalegaev, VV; Kanonidi, KD; Kleimenova, NG; Kozyreva, OV; Kolomiitsev, OP; Krasheninnikov, IA; Krivolutsky, AA; Kropotkin, AP; Kuminov, AA; Leshchenko, LN; Mar'in, BV; Mitrikas, VG; Mikhalev, AV; Mullayarov, VA; Muravieva, EA; Myagkova, IN; Petrov, VM; Petrukovich, AA; Podorolsky, AN; Pudovkin, MI; Samsonov, SN; Sakharov, YA; Svidsky, PM; Sokolov, VD; Soloviev, SI; Sosnovets, EN; Starkov, GV; Starostin, LI; Tverskaya, LV; Teltsov, MV; Troshichev, OA; Tsetlin, VV; Yushkov, BY</t>
  </si>
  <si>
    <t>Collaboration Solar Extreme</t>
  </si>
  <si>
    <t>Magnetic storms in October 2003</t>
  </si>
  <si>
    <t>COSMIC RESEARCH</t>
  </si>
  <si>
    <t>SOLAR PROTON EVENTS; GEOMAGNETIC-PULSATIONS; AURORAL OVAL; COSMIC-RAYS; DYNAMICS; PENETRATION; SPACE; FIELD; MAGNETOSPHERE; INJECTION</t>
  </si>
  <si>
    <t>Preliminary results of an analysis of satellite and ground-based measurements during extremely strong magnetic storms at the end of October 2003 are presented, including some numerical modeling. The geosynchronous satellites Ekspress-A2 and Ekspress-A3, and the low-altitude polar satellites Coronas-F and Meteor-3M carried out measurements of charged particles (electrons, protons, and ions) of solar and magnetospheric origin in a wide energy range. Disturbances of the geomagnetic field caused by extremely high activity on the Sun were studied at more than twenty magnetic stations from Lovozero (Murmansk region) to Tixie (Sakha-Yakutia). Unique data on the dynamics of the ionosphere, riometric absorption, geomagnetic pulsations, and aurora observations at mid-latitudes are obtained.</t>
  </si>
  <si>
    <t>Moscow MV Lomonosov State Univ, Skobeltsyn Inst Nucl Phys, Moscow, Russia; Fedorov Inst Appl Geophys, Moscow, Russia; Russian Acad Sci, Shafer Inst Cosmophys Res &amp; Aeron, Yakutian Sci Ctr, Siberian Div, Moscow 117901, Russia; Russian Acad Sci, Inst Solar Terr Phys, Siberian Branch, Irkutsk 664003, Russia; IZMIRAN, Inst Terr Magnetism Ionosphere &amp; Radio Wave P, Troitsk 142092, Russia; Inst Medicobiol Problems, Moscow, Russia; Cent Aerol Observ, Dolgoprudnyi, Russia; Russian Acad Sci, Space Res Inst, Moscow, Russia; Russian Acad Sci, Inst Phys Earth, Moscow, Russia; St Petersburg State Univ, Inst Phys, St Petersburg, Russia; Russian Acad Sci, Kola Sci Ctr, Polar Geophys Inst, Apatity, Russia; Arctic &amp; Antarctic Inst, St Petersburg, Russia</t>
  </si>
  <si>
    <t>Lomonosov Moscow State University; Russian Academy of Sciences; Shafer Institute of Cosmophysical Research &amp; Aeronomy, Siberian Branch of the Russian Academy of Sciences; Irkutsk Science Centre of the Russian Academy of Sciences; Russian Academy of Sciences; Institute of Solar-Terrestrial Physics of the Siberian Branch of the Russian Academy of Sciences; Russian Academy of Sciences; Pushkov Institute of Terrestrial Magnetism, Ionosphere &amp; Radio Wave Propagation; Russian Academy of Sciences; Space Research Institute of the Russian Academy of Sciences; Russian Academy of Sciences; Schmidt Institute of Physics of the Earth of the Russian Academy of Sciences; Saint Petersburg State University; Russian Academy of Sciences; Kola Science Centre of the Russian Academy of Sciences; Polar Geophysical Institute</t>
  </si>
  <si>
    <t>Moscow MV Lomonosov State Univ, Skobeltsyn Inst Nucl Phys, Moscow, Russia.</t>
  </si>
  <si>
    <t>Panasyuk, Mikhail I./E-2005-2012; Kuminov, Alexander/AAA-4754-2019; Baishev, Dmitry G./D-3018-2013; Ammosov, Petr/T-3644-2018; Крашенинников, Игорь/HKF-1750-2023; Sakharov, Yaroslav/A-6657-2017; Belenkaya, Elena/HMD-4417-2023; Beletsky, Aleksandr/AAB-8297-2021; Gavrilyeva, Galina/HMU-9584-2023; Михалев, Александр/O-1255-2016; Krasheninnikov, Igor/AAB-9661-2022; Alexeev, Igor I/G-8773-2011; Petrukovich, Anatoly A./G-8764-2011; Belenkaya, Elena/D-6940-2012; Dmitriev, Alexei/J-6161-2012; Zherebtsov, Geliy/T-5960-2017; Sakharov, Yaroslav/F-4805-2017; Myagkova, Irina N/E-3660-2012; Alekseev, Igor Ivanovich/O-2318-2019; Yushkov, Boris Y/B-8321-2012; Kropotkin, Alexey P./I-1258-2012; Belov, Anatoly/L-4097-2019; Gavrilyeva, Galina/AAF-4484-2019; Belov, Anatoly/M-9727-2019; Kalegaev, Vladimir/H-6117-2012; Samsonov, Sergey/E-3461-2014</t>
  </si>
  <si>
    <t>Baishev, Dmitry G./0000-0002-0229-5792; Belenkaya, Elena/0000-0001-6183-4103; Beletsky, Aleksandr/0000-0002-8312-5487; Gavrilyeva, Galina/0000-0002-5968-5644; Dmitriev, Alexei/0000-0001-8038-251X; Sakharov, Yaroslav/0000-0003-3074-6383; Alekseev, Igor Ivanovich/0000-0003-2057-5365; Belov, Anatoly/0000-0002-1834-3285; Kalegaev, Vladimir/0000-0002-3214-7184; Sakharov, Yaroslav/0000-0001-8808-8577; Samsonov, Sergey/0000-0002-5897-6730</t>
  </si>
  <si>
    <t>0010-9525</t>
  </si>
  <si>
    <t>1608-3075</t>
  </si>
  <si>
    <t>COSMIC RES+</t>
  </si>
  <si>
    <t>Cosmic Res.</t>
  </si>
  <si>
    <t>SEP-OCT</t>
  </si>
  <si>
    <t>Engineering, Aerospace; Astronomy &amp; Astrophysics</t>
  </si>
  <si>
    <t>Engineering; Astronomy &amp; Astrophysics</t>
  </si>
  <si>
    <t>872MC</t>
  </si>
  <si>
    <t>WOS:000225210300003</t>
  </si>
  <si>
    <t>Kidawa, A; Markowska, M; Rakusa-Suszczewski, S</t>
  </si>
  <si>
    <t>Chemosensory behaviour in the mud crab, Rhithropanopeus harrish tridentatus from Martwa Wisla Estuary (Gdansk Bay, Baltic Sea)</t>
  </si>
  <si>
    <t>CRUSTACEANA</t>
  </si>
  <si>
    <t>CANCER-IRRORATUS; SPINY LOBSTER; PREY ODORS; ANIMAL NAVIGATION; ROCK CRABS; RESPONSES; BAIT; CHEMORECEPTION; SIGNALS; ORIENTATION</t>
  </si>
  <si>
    <t>Experiments were carried out to study the effects of food signal concentration, animal nutritional status, and signal repetition on behavioural responses of the mud crab, Rhithropanopeus harrisii tridentatus. Starved crabs responded to a food stimulus by maxilliped movements, chela probing, cleaning movements by the first pair of walking legs, and locomotion. A low concentration of the stimulus elicited only detection, medium concentrations triggered far-field food search, and high concentration activated near-field food search. These results indicate that crabs use the stimulus concentration as a source of information about their distance from a food item. Fed animals reacted to a full-strength food stimulus by escaping from the place where such odour was released. No search behaviour was elicited. Such strategy can decrease the risk of encountering predators or cannibalistic conspecifics by animals that are not under the imminent danger of starving. Stimulus repetition had an inhibitory effect on crab behavioural reactions. The degree of blockade was decreasing with the increase in time between successive stimulus applications. These results indicate that crabs may have a learning mechanism, protecting them from repeating useless food search.</t>
  </si>
  <si>
    <t>Polish Acad Sci, Dept Antarctic Biol, PL-02141 Warsaw, Poland</t>
  </si>
  <si>
    <t>Polish Academy of Sciences</t>
  </si>
  <si>
    <t>Kidawa, A (corresponding author), Polish Acad Sci, Dept Antarctic Biol, Ul Ustrzycka 10-12, PL-02141 Warsaw, Poland.</t>
  </si>
  <si>
    <t>aniak@dab.waw.pl</t>
  </si>
  <si>
    <t>Potocka, Marta/0000-0003-0505-6436</t>
  </si>
  <si>
    <t>BRILL ACADEMIC PUBLISHERS</t>
  </si>
  <si>
    <t>LEIDEN</t>
  </si>
  <si>
    <t>PLANTIJNSTRAAT 2, P O BOX 9000, 2300 PA LEIDEN, NETHERLANDS</t>
  </si>
  <si>
    <t>0011-216X</t>
  </si>
  <si>
    <t>1568-5403</t>
  </si>
  <si>
    <t>Crustaceana</t>
  </si>
  <si>
    <t>10.1163/1568540042781711</t>
  </si>
  <si>
    <t>885NM</t>
  </si>
  <si>
    <t>WOS:000226164200001</t>
  </si>
  <si>
    <t>Kang, JS; Raymond, JA</t>
  </si>
  <si>
    <t>Reduction of freeze-thaw-induced hemolysis of red blood cells by an algal ice-binding protein</t>
  </si>
  <si>
    <t>CRYOLETTERS</t>
  </si>
  <si>
    <t>cryopreservation; diatom; recrystallization inhibition; ice-active substance</t>
  </si>
  <si>
    <t>ANTIFREEZE PROTEINS; RECRYSTALLIZATION INHIBITION; CRYOPRESERVATION; PLANT; SPERMATOZOA; SURVIVAL; DIATOMS; GROWTH</t>
  </si>
  <si>
    <t>Antarctic sea ice diatoms produce ice-binding proteins (IBPs) that are strong inhibitors of the recrystallization of ice. Their function may be to reduce cell damage in the frozen state. We show here that an IBP from the diatom Navicula glaciei Vanheurck also has the ability to reduce freeze-thaw damage to red blood cells and that the effect may be due to its ability to inhibit recrystallization of ice.</t>
  </si>
  <si>
    <t>Univ Nevada, Dept Biol Sci, Las Vegas, NV 89154 USA; Korean Ocean Res &amp; Dev Inst, Korea Polar Res Inst, Ansan, South Korea</t>
  </si>
  <si>
    <t>Nevada System of Higher Education (NSHE); University of Nevada Las Vegas; Korea Polar Research Institute (KOPRI); Korea Institute of Ocean Science &amp; Technology (KIOST)</t>
  </si>
  <si>
    <t>Kang, JS (corresponding author), Univ Nevada, Dept Biol Sci, Las Vegas, NV 89154 USA.</t>
  </si>
  <si>
    <t>CRYO LETTERS</t>
  </si>
  <si>
    <t>C/O ROYAL VETERINARY COLLEGE, ROYAL COLLEGE ST, LONDON NW1 0TU, ENGLAND</t>
  </si>
  <si>
    <t>0143-2044</t>
  </si>
  <si>
    <t>CryoLetters</t>
  </si>
  <si>
    <t>Biology; Physiology</t>
  </si>
  <si>
    <t>Life Sciences &amp; Biomedicine - Other Topics; Physiology</t>
  </si>
  <si>
    <t>871AM</t>
  </si>
  <si>
    <t>WOS:000225101100001</t>
  </si>
  <si>
    <t>Ayub, ND; Pettinari, MJ; Ruiz, JA; López, NI</t>
  </si>
  <si>
    <t>A polyhydroxybutyrate-producing Pseudomonas sp isolated from antarctic environments with high stress resistance</t>
  </si>
  <si>
    <t>CURRENT MICROBIOLOGY</t>
  </si>
  <si>
    <t>OLEOVORANS; SURVIVAL; POLY(3-HYDROXYALKANOATES); POLY(3-HYDROXYBUTYRATE); BACTERIA; DNA</t>
  </si>
  <si>
    <t>Pseudomonas sp. 14-3, a strain that accumulates large quantities of polyhydroxybutyrate (PHB) when grown on octanoate, was isolated from Antarctic environments. This isolate was characterized on the basis of phenotypic features and partial sequencing of its 16S ribosomal RNA gene. Pseudomonas sp. 14-3 showed increased tolerance to both thermal and oxidative stress compared with three other Pseudomonas species. Stress tolerance of Pseudomonas sp. 14-3 was analyzed in polyhydroxyalkanoate accumulating and non-accumulating conditions, and increased levels of stress resistance were observed when PHB was produced. Pseudomonas sp. 14-3 was isolated from Antarctic regions, a habitat normally exposed to extreme conditions. An association between high PHB accumulation and high stress resistance in bacteria adapted to extreme environments is suggested.</t>
  </si>
  <si>
    <t>Univ Buenos Aires, Fac Ciencias Exactas &amp; Nat, Dept Quim Biol, RA-1428 Buenos Aires, DF, Argentina</t>
  </si>
  <si>
    <t>University of Buenos Aires</t>
  </si>
  <si>
    <t>Univ Buenos Aires, Fac Ciencias Exactas &amp; Nat, Dept Quim Biol, Ciudad Univ,Pabellon 2, RA-1428 Buenos Aires, DF, Argentina.</t>
  </si>
  <si>
    <t>nan@qb.fcen.uba.ar</t>
  </si>
  <si>
    <t>Pettinari, M. Julia/B-7404-2011</t>
  </si>
  <si>
    <t>Lopez, Nancy/0000-0002-2966-3014; Pettinari, Julia/0000-0002-6130-4740; Ayub, Nicolas/0000-0001-5012-240X</t>
  </si>
  <si>
    <t>0343-8651</t>
  </si>
  <si>
    <t>1432-0991</t>
  </si>
  <si>
    <t>CURR MICROBIOL</t>
  </si>
  <si>
    <t>Curr. Microbiol.</t>
  </si>
  <si>
    <t>10.1007/s00284-004-4254-2</t>
  </si>
  <si>
    <t>849FD</t>
  </si>
  <si>
    <t>WOS:000223523200005</t>
  </si>
  <si>
    <t>Losch, M; Schröter, J</t>
  </si>
  <si>
    <t>Estimating the circulation from hydrography and satellite altimetry in the Southern Ocean:: limitations imposed by the current geoid models</t>
  </si>
  <si>
    <t>ocean circulation; hydrography; satellite altimetry; geoid; inverse methods</t>
  </si>
  <si>
    <t>SUB-ANTARCTIC FRONT; GENERAL-CIRCULATION; GRAVITY-FIELD; TOPOGRAPHY; STATE</t>
  </si>
  <si>
    <t>Sea-surface height data from satellite altimetry provide a very powerful means of determining the general ocean circulation. For oceanographic studies in which the absolute sea-surface height is required, one has to use the equipotential height of a geoid model as a reference surface. Earlier studies have shown that with recent geoid models, this reference surface is not known to an accuracy sufficient for ocean state estimation. It is demonstrated with an analysis of a hydrographic section between Australia and Antarctica that the combination of altimetry data and the geoid height of a state-of-the-art geoid model is not only inaccurate, but also inconsistent with a hydrographic estimate of the flow field. The conclusion is drawn that this is so because the formal errors of the geoid model underestimate its true errors. (C) 2004 Elsevier Ltd. All rights reserved.</t>
  </si>
  <si>
    <t>Alfred Wegener Inst Polar &amp; Marine Res, Postfach 120161,Haus F, D-27515 Bremerhaven, Germany.</t>
  </si>
  <si>
    <t>mlosch@awi-bremerhaven.de</t>
  </si>
  <si>
    <t>Schröter, Jens G/H-8806-2016; Losch, Martin/S-5896-2016</t>
  </si>
  <si>
    <t>Schröter, Jens G/0000-0002-9240-5798; Losch, Martin/0000-0002-3824-5244</t>
  </si>
  <si>
    <t>10.1016/j.dsr.2004.02.012</t>
  </si>
  <si>
    <t>848VP</t>
  </si>
  <si>
    <t>WOS:000223496500001</t>
  </si>
  <si>
    <t>Hoppema, M</t>
  </si>
  <si>
    <t>Weddell Sea is a globally significant contributor to deep-sea sequestration of natural carbon dioxide</t>
  </si>
  <si>
    <t>carbon cycle; carbon dioxide; intermediate water; mass transport; carbon sequestration; southern ocean; Weddell Sea; antarctic circumpolar current</t>
  </si>
  <si>
    <t>SOUTHERN-OCEAN; ORGANIC-CARBON; ROSS SEA; INTERMEDIATE WATER; EXPORT PRODUCTION; FLUX; TRANSPORT; SCALE; CIRCULATION; ATLANTIC</t>
  </si>
  <si>
    <t>A mechanism of lateral transport of remineralized carbon from the subsurface Weddell Sea into the abyssal world oceans is presented and its impact is quantified. In the Weddell Sea interior, full remineralization of the export production occurs at shallow depths. This shallow, CO2-charged water stands in isopycnal contact with the abyssal world ocean waters to the north of the subpolar Weddell Sea. Via isopycnal water transport, remineralized CO2 is transferred and sequestered in the deep sea. The amount involved is 1.9 x 10(13) gC yr(-1), which is equal to at least 6% of the presently estimated world-wide natural CO2 sequestration in the abyssal oceans. It thus constitutes an important component of the lower limb of the global oceanic carbon cycle. There may be more regions like the Weddell Sea, where this mechanism could be active. It is likely to play a significant role on the glacial-interglacial time scale. During a glacial period, reduced CO2 transport via the CIW would tend to increase the atmospheric partial pressure Of CO2 as opposed to the generally decreasing pCO(2) trend. (C) 2004 Elsevier Ltd. All rights reserved.</t>
  </si>
  <si>
    <t>Alfred Wegener Inst Polar &amp; Marine Res, Climate Syst Dept, D-27515 Bremerhaven, Germany</t>
  </si>
  <si>
    <t>Alfred Wegener Inst Polar &amp; Marine Res, Climate Syst Dept, POB 120161, D-27515 Bremerhaven, Germany.</t>
  </si>
  <si>
    <t>mhoppema@awi-bremerhaven.de</t>
  </si>
  <si>
    <t>Hoppema, Mario/I-6286-2013</t>
  </si>
  <si>
    <t>Hoppema, Mario/0000-0002-2326-619X</t>
  </si>
  <si>
    <t>10.1016/j.dsr.2004.02.011</t>
  </si>
  <si>
    <t>WOS:000223496500004</t>
  </si>
  <si>
    <t>Roberts, P</t>
  </si>
  <si>
    <t>Fighting the 'microbe of sporting mania': Australian science and Antarctic exploration in the early 20th century</t>
  </si>
  <si>
    <t>ENDEAVOUR</t>
  </si>
  <si>
    <t>The 'Heroic Age' of Antarctic exploration, which occurred during the first 15 years of the 20th century, captured headlines around the world. Australia was no exception, especially as Australian scientists played important roles in several expeditions. Through participation in the British Antarctic Expedition of 1907-1909, two Australian scientists - T.W. Edgeworth David (1858-1934) and Douglas Mawson (1882-1958) - became genuine national heroes, mainly through being members of the first party to reach the South Magnetic Pole area. At a superficial level, the vehicle of Antarctic exploration placed science at the forefront of public awareness, fulfilling David's ambition for greater recognition of science and scientists, especially considering the high level of public interest in sport. However, although David and Mawson gave Antarctic exploration a scientific veneer, simply through their status as scientists, the public viewed them as heroes because they had endured great hardships and conquered a point on the map in the name of science and the Empire.</t>
  </si>
  <si>
    <t>Univ New S Wales, Sch Hist &amp; Philosophy Sci, Sydney, NSW 2052, Australia</t>
  </si>
  <si>
    <t>Roberts, P (corresponding author), Univ New S Wales, Sch Hist &amp; Philosophy Sci, Sydney, NSW 2052, Australia.</t>
  </si>
  <si>
    <t>peder.roberts@stanford.edu</t>
  </si>
  <si>
    <t>0160-9327</t>
  </si>
  <si>
    <t>Endeavour</t>
  </si>
  <si>
    <t>10.1016/j.endeavour.2004.07.005</t>
  </si>
  <si>
    <t>History &amp; Philosophy Of Science; Multidisciplinary Sciences</t>
  </si>
  <si>
    <t>History &amp; Philosophy of Science; Science &amp; Technology - Other Topics</t>
  </si>
  <si>
    <t>856ZJ</t>
  </si>
  <si>
    <t>WOS:000224084500005</t>
  </si>
  <si>
    <t>Piggott, JR</t>
  </si>
  <si>
    <t>Shackleton's men: life on Elephant Island</t>
  </si>
  <si>
    <t>The experiences of the 22 men from Ernest Shackleton's Endurance expedition of 1914-1916 who were marooned on Elephant Island during the Antarctic winter are not as well known as the narrative of the ship being beset and sunk, and Shackleton's open boat journey to South Georgia to rescue them. Frank Wild was left in charge of the marooned men by Shackleton and saved them from starvation and despair. The morale of the men in the face of extreme exposure to the elements, the ingenuity of their devices for survival and their diet, conversation and entertainments all reveal heroic qualities of Shackletonian endurance.</t>
  </si>
  <si>
    <t>Dulwich Coll, London SE21 7LD, England</t>
  </si>
  <si>
    <t>Dulwich Coll, London SE21 7LD, England.</t>
  </si>
  <si>
    <t>archives@dulwich.org.uk</t>
  </si>
  <si>
    <t>1873-1929</t>
  </si>
  <si>
    <t>10.1016/j.endeavour.2004.07.009</t>
  </si>
  <si>
    <t>WOS:000224084500006</t>
  </si>
  <si>
    <t>Moreira, D; Rodríguez-Valera, F; López-García, P</t>
  </si>
  <si>
    <t>Analysis of a genome fragment of a deep-sea uncultivated Group II euryarchaeote containing 16S rDNA, a spectinomycin-like operon and several energy metabolism genes</t>
  </si>
  <si>
    <t>ENVIRONMENTAL MICROBIOLOGY</t>
  </si>
  <si>
    <t>ANTARCTIC POLAR FRONT; ARCHAEON CENARCHAEUM-SYMBIOSUM; DIFFERENT OCEANIC PROVINCES; FUMARATE REDUCTASE; PROTEIN SEQUENCES; SUCCINATE; PROKARYOTES; ASSEMBLAGES; DIVERSITY; VOLCANII</t>
  </si>
  <si>
    <t>We have sequenced and analysed a 39.5 kbp genome fragment of a marine Group II euryarchaeote identified in a metagenomic library of 500 m deep plankton at the Antarctic Polar Front. The clone contains a 16S rRNA gene that is separated from the 23S rRNA gene in the genome. This appears to be a trait shared by Thermoplasmatales and Group II euryarchaeota. This genome fragment exhibits a compact organization, including a few overlapping genes in the canonical spectinomycin-like (spc) operon for ribosomal proteins that is immediately upstream the 16S rDNA. Most open reading frames (ORFs) encoded proteins involved in housekeeping processes and, as expected, exhibited a phylogenetic distribution congruent with that of the 16S rRNA. A considerable number of proteins with predicted transmembrane helices was identified. Among those, two proteins encoded by genes likely forming an operon appear to be part of a membrane terminal electron transport chain. One of these proteins has an unusual domain arrangement including ferredoxin, flavodoxin and one succinate dehydrogenase/fumarate reductase subunit. These proteins probably constitute a new succinate dehydrogenase-like oxidoreductase involved in what could be a novel pathway for energy metabolism in Group II euryarchaeota.</t>
  </si>
  <si>
    <t>Univ Paris 11, CNRS, UMR 8079, F-91405 Orsay, France; Univ Miguel Hernandez, Div Microbiol, Alacant 03550, Spain</t>
  </si>
  <si>
    <t>AgroParisTech; Centre National de la Recherche Scientifique (CNRS); CNRS - Institute of Ecology &amp; Environment (INEE); Universite Paris Saclay; Universidad Miguel Hernandez de Elche</t>
  </si>
  <si>
    <t>puri.lopez@ese.u-psud.fr</t>
  </si>
  <si>
    <t>Rodriguez-Valera, Francisco/M-2782-2013; Moreira, David/F-7445-2012; Lopez-Garcia, Purificacion/B-6775-2012</t>
  </si>
  <si>
    <t>Rodriguez-Valera, Francisco/0000-0002-9809-2059; Moreira, David/0000-0002-2064-5354; Lopez-Garcia, Purificacion/0000-0002-0927-0651</t>
  </si>
  <si>
    <t>1462-2912</t>
  </si>
  <si>
    <t>1462-2920</t>
  </si>
  <si>
    <t>ENVIRON MICROBIOL</t>
  </si>
  <si>
    <t>Environ. Microbiol.</t>
  </si>
  <si>
    <t>10.1111/j.1462-2920.2004.00644.x</t>
  </si>
  <si>
    <t>845OR</t>
  </si>
  <si>
    <t>WOS:000223254700010</t>
  </si>
  <si>
    <t>Hoffman, JI; Boyd, IL; Amos, W</t>
  </si>
  <si>
    <t>Exploring the relationship between parental relatedness and male reproductive success in the antarctic fur seal Arctocephalus gazella</t>
  </si>
  <si>
    <t>EVOLUTION</t>
  </si>
  <si>
    <t>breeding behavior; fitness; pinniped; male-male competition; microsatellite; heterozygosity; inbreeding; single-locus effect</t>
  </si>
  <si>
    <t>INBREEDING DEPRESSION; PATERNITY INFERENCE; GENETIC-VARIATION; PRIOR RESIDENCE; SONG SPARROWS; FITNESS; POPULATION; DIVERSITY; HETEROSIS; SURVIVAL</t>
  </si>
  <si>
    <t>Recent genetic studies of natural populations have shown that heterozygosity and other genetic estimates of parental relatedness correlate with a wide variety of fitness traits, from juvenile survival and parasite resistance to male reproductive success. Many of these traits involve health and survival, where the underlying mechanism may involve changes in the effectiveness of the immune system. However, for traits such as reproductive success, the likely mechanisms remain less obvious. In this paper, we examine the relationship between heterozygosity and a range of traits that contribute to male reproductive success, including time spent on territories and competitiveness. Our analysis is based on observational and genetic data from eight consecutive breeding seasons at a colony of the Antarctic fur seal. Arctocephalus gazella. Overall, male reproductive Success was found to correlate strongly with internal relatedness (IR, a form of heterozygosity). When different components of success were analyzed, we found that IR correlates independently with reproductive longevity, time spent ashore, and competitive ability per unit mating opportunity on the Study beach, with more heterozygous males being more successful. Behavioral observations were sufficiently detailed to allow examination of how daily mean IR values for males present on the beach varied within seasons and from year to year. Again, significant variation was found both among and within seasons, with more homozygous males appearing less able to hold territories in poor seasons when pup production is low and, within a season. at both the start of the season and to some extent around the peak of female estrus. Finally, we tested whether the benefits of high heterozygosity are due mainly to a genomewide effect (e.g. inbreeding depression) or to single locus heterosis by asking whether the relationship between IR and male success was robust to the removal of any single locus or to any pair of loci. Since the relationship remained significant in all cases, we favor a multilocus explanation for the effects we report.</t>
  </si>
  <si>
    <t>Univ Cambridge, Dept Zool, Cambridge CB2 3EJ, England; British Antarctic Survey, NERC, Cambridge CB3 0ET, England</t>
  </si>
  <si>
    <t>University of Cambridge; UK Research &amp; Innovation (UKRI); Natural Environment Research Council (NERC); NERC British Antarctic Survey</t>
  </si>
  <si>
    <t>Univ Cambridge, Dept Zool, Downing St, Cambridge CB2 3EJ, England.</t>
  </si>
  <si>
    <t>jih24@cam.ac.uk; ilb@st-andrews.ac.uk; w.amos@zoo.cam.ac.uk</t>
  </si>
  <si>
    <t>Hoffman, Joseph/K-7725-2012</t>
  </si>
  <si>
    <t>Hoffman, Joseph/0000-0001-5895-8949</t>
  </si>
  <si>
    <t>0014-3820</t>
  </si>
  <si>
    <t>1558-5646</t>
  </si>
  <si>
    <t>Evolution</t>
  </si>
  <si>
    <t>Ecology; Evolutionary Biology; Genetics &amp; Heredity</t>
  </si>
  <si>
    <t>Environmental Sciences &amp; Ecology; Evolutionary Biology; Genetics &amp; Heredity</t>
  </si>
  <si>
    <t>860JV</t>
  </si>
  <si>
    <t>WOS:000224339500017</t>
  </si>
  <si>
    <t>Yakimov, MM; Gentile, G; Bruni, V; Cappello, S; D'Auria, G; Golyshin, PN; Giuliano, L</t>
  </si>
  <si>
    <t>Crude oil-induced structural shift of coastal bacterial communities of rod bay (Terra Nova Bay, Ross Sea, Antarctica) and characterization of cultured cold-adapted hydrocarbonoclastic bacteria</t>
  </si>
  <si>
    <t>cold-adapted; hydrocarbonoclastic bacteria; Ross Sea; Antarctica</t>
  </si>
  <si>
    <t>IN-SITU HYBRIDIZATION; GEN. NOV.; OLIGONUCLEOTIDE PROBES; DEGRADING BACTERIA; ENTERIC BACTERIA; MARINE BACTERIUM; SP. NOV.; IDENTIFICATION; DIVERSITY; GROWTH</t>
  </si>
  <si>
    <t>For preliminary screening of human impact on Antarctic coasts, the compositions of microbial communities were analyzed in seawater at two sites located in the Terra Nova Bay of Antarctica (Ross Sea) by a combination of 16S rRNA gene sequencing and culture techniques. The bacterial community in the sample from the Rod Bay site, located at the proximity to the Italian Station, was characterized by a high abundance of 16S rRNA gene sequences belonging to the microflora typically found in soil and freshwater environments. In contrast, the seawater sample from the Adelie Cove station, a pristine reference site, contained 16S rRNA gene sequences typically found in marine areas affected by algal blooms and sea ice decay. The addition of crude oil to the Rod Bay seawater sample rapidly induced a shift in the composition of the bacterial community with appearance of novel taxonomic groups and a dramatic increase in the relative abundance of gamma-Proteobacteria sequences, whereas no significant changes were detected in the bacterial community of the Adelie Cove sample under the same conditions. Bacteria-exhibiting features with potential interest for industrial and environmental applications were isolated from the Rod Bay oil-enriched sample. In particular, hydrocarbon-degrading, cold-adapted bacteria were selectively enriched, isolated and screened for their ability to synthesize polyunsaturated fatty acids. Twenty two bacterial strains were isolated from the oil enrichment culture and identified. Eighteen isolates were found to be members of gamma-Proteobacteria, while the remainder were representatives of alpha-Proteobacteria, CFB and high G + C divisions. (C) 2004 Federation of European Microbiological Societies. Published by Elsevier B.V. All rights reserved.</t>
  </si>
  <si>
    <t>IAMC, Inst Coastal Marine Environm, CNR, I-98122 Messina, Italy; Univ Messina, Dept Anim Biol &amp; Marine Ecol, I-98166 Messina, Italy; Tech Univ Braunschweig, Inst Microbiol, D-38106 Braunschweig, Germany</t>
  </si>
  <si>
    <t>Consiglio Nazionale delle Ricerche (CNR); L'Istituto per l'Ambiente Marino Costiero (IAMC-CNR); University of Messina; Braunschweig University of Technology</t>
  </si>
  <si>
    <t>IAMC, Inst Coastal Marine Environm, CNR, Spianata S Raineri 86, I-98122 Messina, Italy.</t>
  </si>
  <si>
    <t>iakimov@ist.me.cnr.it</t>
  </si>
  <si>
    <t>Giuliano, Laura/P-2204-2019; D'Auria, Giuseppe/E-6583-2010; Yakimov, Michail/H-1829-2016</t>
  </si>
  <si>
    <t>D'Auria, Giuseppe/0000-0003-0672-2541; Yakimov, Michail/0000-0003-1418-363X; Golyshin, Peter/0000-0002-5433-0350</t>
  </si>
  <si>
    <t>SEP 1</t>
  </si>
  <si>
    <t>10.1016/j.femsec.2004.04.018</t>
  </si>
  <si>
    <t>851OS</t>
  </si>
  <si>
    <t>WOS:000223695000008</t>
  </si>
  <si>
    <t>Xavier, JC; Trathan, PN; Croxall, JP; Wood, AG; Podestá, G; Rodhouse, PG</t>
  </si>
  <si>
    <t>Foraging ecology and interactions with fisheries of wandering albatrosses (Diomedea exulans) breeding at South Georgia</t>
  </si>
  <si>
    <t>FISHERIES OCEANOGRAPHY</t>
  </si>
  <si>
    <t>diet; Diomedea exulans; fisheries; oceanography; South Georgia; wandering albatross</t>
  </si>
  <si>
    <t>PENGUIN APTENODYTES-PATAGONICUS; ANTARCTIC POLAR FRONT; PROCELLARIA-AEQUINOCTIALIS; SATELLITE TRACKING; CEPHALOPOD PREY; DIET; SEABIRDS; ATLANTIC; OCEAN; OMMASTREPHIDAE</t>
  </si>
  <si>
    <t>Knowledge about the areas used by the foraging wandering albatross, Diomedea exulans, its prey and overlap with longline fisheries is important information not only for the conservation of this species but also for furthering our understanding of the ecology of its prey. We attached satellite-tracking devices and activity recorders to wandering albatrosses between May and July of 1999 and 2000 (years of differing food availability around South Georgia) in order to assess inter-annual variation in the main foraging areas, association with oceanographic features (i.e. fronts, bathymetry), diet and interactions with fisheries. The overall foraging patterns of the tracked birds were similar in 1999 and 2000, ranging between southern Brazil (28degreesS) and the Antarctic Peninsula (63degreesS) and between the waters off Tristan da Cunha (19degreesW) and the Patagonian Shelf and oceanic waters south of Cape Horn (68degreesW) in the South Atlantic. In 1999, wandering albatrosses spent most time in sub-Antarctic oceanic waters, their trip durations were significantly longer and they fed on fish and cephalopods (53 and 42% by mass, respectively). In contrast, in 2000, they spent more time in Antarctic waters, foraging trips were shorter and the diet was predominantly fish (84% by mass). Wandering albatrosses were associated with the sub-Antarctic Front (SAF; both years), Subtropical Front (STF; in 1999) and the Tropical Front (TF; in 2000) suggesting that this species exploits prey concentrated at oceanic fronts. Fisheries discards also seemed to provide a very good source of food. Several fish species that are targeted (e.g. Patagonian toothfish, Dissostichus eleginoides) or are available as offal/discards from commercial fisheries (e.g. the macrourids, Antimora rostrata and Macrourus holotrachys) were mainly associated with the South Georgia shelf and the Patagonian Shelf, respectively. Wandering albatross foraging areas overlapped with longline fisheries in three different regions: around South Georgia, at the Patagonian Shelf and in oceanic waters north of 40degreesS. Females commuted more frequently to the Patagonian Shelf and to oceanic areas where longline fisheries were operating. Males, on the other hand, spent more time on the shelf/shelf slope of South Georgia where they were more at risk from the local Patagonian toothfish fishery, particularly in 2000. These results emphasize that inter-annual variation in foraging preferences could lead to increased incidental mortality of this vulnerable species. Potential evidence for this is provided by a satellite-tracked wandering albatross (male; 1.8-day trip), whose diet contained a Patagonian toothfish head and a longline hook, and who spent extensive time in the water (44% of the time wet; 0.3 days of the trip) where a Patagonian toothfish longline fishing vessel was operating.</t>
  </si>
  <si>
    <t>British Antarctic Survey, NERC, Cambridge CB3 0ET, England; Univ Cambridge, Dept Zool, Cambridge CB2 3EJ, England; Univ Miami, Rosenstiel Sch Marine &amp; Atmospher Sci, Div Meteorol &amp; Phys Oceanog, Miami, FL 33149 USA</t>
  </si>
  <si>
    <t>UK Research &amp; Innovation (UKRI); Natural Environment Research Council (NERC); NERC British Antarctic Survey; University of Cambridge; University of Miami</t>
  </si>
  <si>
    <t>jccx@bas.ac.uk</t>
  </si>
  <si>
    <t>Xavier, José/KFB-6739-2024; Podesta, Guillermo/L-7100-2015</t>
  </si>
  <si>
    <t>/0000-0002-9621-6660; Podesta, Guillermo/0000-0002-4909-0567</t>
  </si>
  <si>
    <t>1054-6006</t>
  </si>
  <si>
    <t>1365-2419</t>
  </si>
  <si>
    <t>FISH OCEANOGR</t>
  </si>
  <si>
    <t>Fish Oceanogr.</t>
  </si>
  <si>
    <t>10.1111/j.1365-2419.2004.00298.x</t>
  </si>
  <si>
    <t>Fisheries; Oceanography</t>
  </si>
  <si>
    <t>850DC</t>
  </si>
  <si>
    <t>WOS:000223590400004</t>
  </si>
  <si>
    <t>Peck, LS</t>
  </si>
  <si>
    <t>Physiological flexibility: the key to success and survival for Antarctic fairy shrimps in highly fluctuating extreme environments</t>
  </si>
  <si>
    <t>FRESHWATER BIOLOGY</t>
  </si>
  <si>
    <t>anostraca; extreme environment; metabolism; physiological scope; temperature limits</t>
  </si>
  <si>
    <t>TEMPERATURE-DEPENDENT BIOGEOGRAPHY; LIFE-HISTORY; CLIMATE-CHANGE; THERMAL TOLERANCE; COLD TOLERANCE; CRUSTACEA; ANOSTRACA; BRANCHIOPODA; REQUIREMENTS; STRATEGIES</t>
  </si>
  <si>
    <t>1. The anostracan fairy shrimp Branchinecta gaini inhabits one of the most hostile environments on earth, living in pools and lakes in Antarctica. Between January 2002 and January 2003 temperatures in two pools where B. gaini are extremely abundant on Adelaide Island ranged from -18.6 to -15.7 degreesC in winter, to 19.4 to 17.1 degreesC in summer, whilst air temperatures ranged from -34 to 6.3 degreesC. 2. Branchinecta gaini survives winter as cysts, but endures large summer temperature fluctuations as adults. Cysts froze between -24.4 and -25.7 degreesC. In experiments adults survived 0-10 degreesC with no mortality for 1 week, 25 degreesC for nearly 48 h with 50% mortality, and at 32 degreesC complete mortality occurred in &lt;1 h. 3. Oxygen consumption ((M) over dotO(2)) in B. gaini approximately doubled for every 10 degreesC temperature rise (Q(10) = 2.04) up to 20 degreesC where it reached a peak. Females had, on average 19% higher (M) over dotO(2) than males. Females also had greater metabolic scopes, (maximum-minimum (M) over dotO(2) across temperatures was x3.6 for females, x3.1 for males). 4. Ventilation frequency increased linearly with temperature, and did not decline at 25 degreesC, indicating animals were 'trying' progressively harder to supply oxygen to tissues, and oxygen deficiency was the probable cause of death. Females had a higher ventilation frequency than males (8.6-17.1% higher) and they also exhibited greater scope to raise ventilation frequency (x2.4 for females versus x1.5 for males). 5. Great metabolic flexibility allows B. gaini to exploit extreme, highly fluctuating environments, and larger ventilatory and respiratory scopes allow females to survive higher temperatures than males. Because of this flexibility their prospects for coping with physical environmental change are high.</t>
  </si>
  <si>
    <t>0046-5070</t>
  </si>
  <si>
    <t>1365-2427</t>
  </si>
  <si>
    <t>FRESHWATER BIOL</t>
  </si>
  <si>
    <t>Freshw. Biol.</t>
  </si>
  <si>
    <t>10.1111/j.1365-2427.2004.01264.x</t>
  </si>
  <si>
    <t>847ET</t>
  </si>
  <si>
    <t>WOS:000223376200009</t>
  </si>
  <si>
    <t>Goodge, JW; Williams, IS; Myrow, P</t>
  </si>
  <si>
    <t>Provenance of Neoproterozoic and lower Paleozoic siliciclastic rocks of the central Ross orogen, Antarctica: Detrital record of rift-, passive-, and active-margin sedimentation</t>
  </si>
  <si>
    <t>Ross orogen; Antarctica; silici-clastic rocks; U-Pb; detrital zircons</t>
  </si>
  <si>
    <t>CENTRAL TRANSANTARCTIC MOUNTAINS; SOUTHERN VICTORIA LAND; GLACIER AREA; SHACKLETON LIMESTONE; PENSACOLA MOUNTAINS; WESTERN-AUSTRALIA; BEARDMORE GROUP; PACIFIC MARGIN; UNITED-STATES; AGE</t>
  </si>
  <si>
    <t>Siliciclastic rocks in the Transantarctic Mountains record the tectonic transformation from a Neoproterozoic rift-margin setting to a passive-margin and ultimately to an active early Paleozoic orogenic setting along the paleo-Pacific margin of East Antarctica. New U-Pb detrital-zircon ages constrain both the depositional age and sedimentary provenance of these strata. In the central Transantarctic Mountains, mature quartz arenites of the late Neoproterozoic Beardmore Group contain Archean and Proterozoic zircons, reflecting distal input from the adjacent East Antarctic shield, -Mesoproterozoic igneous provinces, and Grenville-age parts of East Gondwana. Similarly, basal sandstones of the Lower Cambrian Shackleton Limestone (lower Byrd Group) contain zircons reflecting a dominantly, cratonic shield source; the autochthonous Shackleton was deposited during early Ross orogenesis, yet its basal sandstone indicates that the inner shelf was locally quiescent. Detrital zircons from the Koettlitz Group in southern Victoria Land show a similar age signature and constrain its depositional age to be less than or equal to670 Ma. Significant populations (up to 22%) of ca. 1.4 Ga zircons in these Neoproterozoic and Lower Cambrian sandstone deposits suggest a unique source of Mesoproterozoic igneous material in the East Antarctic craton; comparison with the trans-Laurentian igneous province of this age suggests paleogeographic linkage between East Antarctica and Laurentia prior to ca. 1.0 Ga. In strong contrast, detrital zircons from upper Byrd Group sandstones are dominated by young components derived from proximal igneous and metamorphic rocks of the emerging Ross orogen. Zircon ages restrict deposition of this syn- to late-orogenic succession to less than or equal to520 Ma (Early Cambrian or younger). Sandstone samples in the Pensacola Mountains are dominated by Grenville and Pan-African zircon ages, suggesting a source in western Dronning Maud Land equivalents of the East African orogen. When integrated with stratigraphic relationships, the detrital-zircon age patterns can be explained by a tectonic model involving Neoproterozoic rifting and development of a passive-margin platform, followed by a rapid transition in the late Early Cambrian (Botomian) to an active continental-margin arc and forearc setting. Large volumes of molassic sediment were shed to forearc marginal basins between Middle Cambrian and Ordovician time, primarily by erosion of volcanic rocks in the early Ross magmatic arc. The forearc deposits were themselves intruded by late-orogenic plutons as the locus of magmatism shifted trenchward during trench retreat. Profound syntectonic denudation, followed by Devonian peneplanation, removed the entire volcanic carapace and exposed the plutonic roots of the arc.</t>
  </si>
  <si>
    <t>Univ Minnesota, Dept Geol Sci, Duluth, MN 55812 USA; Australian Natl Univ, Res Sch Earth Sci, Canberra, ACT 0200, Australia; Colorado Coll, Dept Geol, Colorado Springs, CO 80903 USA</t>
  </si>
  <si>
    <t>University of Minnesota System; University of Minnesota Duluth; Australian National University; Colorado College</t>
  </si>
  <si>
    <t>Univ Minnesota, Dept Geol Sci, Duluth, MN 55812 USA.</t>
  </si>
  <si>
    <t>jgoodge@d.umn.edu; ian.williams@anu.edu.au; pmyrow@coloradocollege.edu</t>
  </si>
  <si>
    <t>Goodge, John/GQI-3878-2022; Williams, Ian S/F-4302-2012</t>
  </si>
  <si>
    <t>Goodge, John/0000-0003-2578-3147; Williams, Ian/0000-0003-4465-6493</t>
  </si>
  <si>
    <t>10.1130/B25347.1</t>
  </si>
  <si>
    <t>851TW</t>
  </si>
  <si>
    <t>WOS:000223709600014</t>
  </si>
  <si>
    <t>Gupta, AK; Singh, RK; Joseph, S; Thomas, E</t>
  </si>
  <si>
    <t>Indian Ocean high-productivity event (10-8 Ma): Linked to global cooling or to the initiation of the Indian monsoons?</t>
  </si>
  <si>
    <t>Indian monsoons; Indian Ocean productivity; benthic foraminifera; stable isotopes; neogene; Ocean Drilling Program; Antarctic ice sheets</t>
  </si>
  <si>
    <t>MIOCENE-EARLY PLIOCENE; ASIAN MONSOON; CLIMATE-CHANGE; BENTHIC FORAMINIFERA; TIBETAN PLATEAU; BIOGENIC BLOOM; LATEST MIOCENE; MYR AGO; SEA; UPLIFT</t>
  </si>
  <si>
    <t>Uplift of the Himalayas and Tibetan Plateau (ca. 10-8 Ma) has been said to be the main cause of the origin or intensification of the Indian monsoon system, because mountains modulate the land-sea thermal contrast. The intensification of the monsoons, in turn, is seen as the cause of major changes in fauna and flora on land (as a result of changing precipitation patterns) as well as in the Indian Ocean, where the monsoons drive increased upwelling and thus increased productivity. We argue that the interactions between the elevation of the Himalayas and Tibetan Plateau, the onset of the monsoons, and their effects on the Indian Ocean biota remain uncertain. The timing of these events (uplift, monsoons, and biotic change) is not well constrained. Neogene deep-sea benthic foraminiferal faunal and isotope records of the Ninetyeast Ridge combined with published data show that a major increase in biogenic productivity occurred at 10-8 Ma throughout the Indian Ocean, the equatorial Pacific, and southern Atlantic. We suggest that this Indian Ocean high-productivity event was not simply the result of monsoon-induced upwelling or nutrient delivery from the weathering of newly uplifted mountains, but may have been caused by strengthened wind regimes resulting from global cooling and the increase in volume of the Antarctic ice sheets.</t>
  </si>
  <si>
    <t>Indian Inst Technol, Dept Geol &amp; Geophys, Kharagpur 721302, W Bengal, India; Wesleyan Univ, Dept Earth &amp; Environm Sci, Middletown, CT 06459 USA; Yale Univ, Dept Geol &amp; Geophys, New Haven, CT 06520 USA</t>
  </si>
  <si>
    <t>Indian Institute of Technology System (IIT System); Indian Institute of Technology (IIT) - Kharagpur; Wesleyan University; Yale University</t>
  </si>
  <si>
    <t>Gupta, AK (corresponding author), Indian Inst Technol, Dept Geol &amp; Geophys, Kharagpur 721302, W Bengal, India.</t>
  </si>
  <si>
    <t>Thomas, Ellen/JVO-1734-2024; SINGH, RAJ K./HGE-7393-2022; SINGH, RAJ K./ABE-4793-2021; Joseph, Sudheer/N-8662-2016</t>
  </si>
  <si>
    <t>Thomas, Ellen/0000-0002-7141-9904; SINGH, RAJ K./0000-0003-2900-7145; SINGH, RAJ K./0000-0003-2900-7145; Joseph, Sudheer/0000-0002-9163-3027; Gupta, Anil/0000-0003-0536-3911</t>
  </si>
  <si>
    <t>10.1130/G20662.1</t>
  </si>
  <si>
    <t>851PG</t>
  </si>
  <si>
    <t>WOS:000223696500005</t>
  </si>
  <si>
    <t>Livermore, R; Eagles, G; Morris, P; Maldonado, A</t>
  </si>
  <si>
    <t>Shackleton Fracture Zone: No barrier to early circumpolar ocean circulation</t>
  </si>
  <si>
    <t>gateways; Southern Ocean; Antarctic Circumpolar Current; Shackleton Fracture Zone; transverse ridge</t>
  </si>
  <si>
    <t>DRAKE PASSAGE; TRANSVERSE RIDGE; PLATE BOUNDARY; MANTLE FLOW; TECTONICS; CLIPPERTON; ANTARCTICA; GLACIATION; EVOLUTION; MOTION</t>
  </si>
  <si>
    <t>The opening of Southern Ocean gateways was critical to the formation of the Antarctic Circumpolar Current and may have led to Cenozoic global cooling and Antarctic glaciation. Drake Passage was probably the final barrier to deep circumpolar ocean currents, but the timing of opening is unclear, because the Shackleton Fracture Zone could have blocked the gateway until the early Miocene. Geophysical and geochemical evidence presented here suggests that the Shackleton Fracture Zone is an oceanic transverse ridge, formed by uplift related to compression across the fracture zone since ca. 8 Ma. Hence, there was formerly (i.e., in the Miocene) no barrier to deep circulation through Drake Passage, and a deep-water connection between the Pacific and Atlantic Oceans was probably established soon after spreading began in Drake Passage during the early Oligocene.</t>
  </si>
  <si>
    <t>British Antarctic Survey, Cambridge CB3 0ET, England; Alfred Wegener Inst Polar Res, D-27568 Bremerhaven, Germany; Univ Granada, Inst Andaluz Ciencias Tierra, CSIC, Granada 18002, Spain</t>
  </si>
  <si>
    <t>UK Research &amp; Innovation (UKRI); Natural Environment Research Council (NERC); NERC British Antarctic Survey; Helmholtz Association; Alfred Wegener Institute, Helmholtz Centre for Polar &amp; Marine Research; Consejo Superior de Investigaciones Cientificas (CSIC); CSIC - Instituto Andaluz de Ciencias de la Tierra (IACT); University of Granada</t>
  </si>
  <si>
    <t>Livermore, Roy/M-1566-2019</t>
  </si>
  <si>
    <t>Eagles, Graeme/0000-0001-5325-0810</t>
  </si>
  <si>
    <t>10.1130/G20537.1</t>
  </si>
  <si>
    <t>WOS:000223696500016</t>
  </si>
  <si>
    <t>Egorov, AG</t>
  </si>
  <si>
    <t>Solar activity and long-term variations in the surface air pressure in the northern polar zone</t>
  </si>
  <si>
    <t>GEOMAGNETISM AND AERONOMY</t>
  </si>
  <si>
    <t>CLIMATE-CHANGE; HEMISPHERE; CYCLE</t>
  </si>
  <si>
    <t>The long-term changes in the surface air pressure in the northern polar zone are studied with respect to the solar cycle structure; It has been indicated that an increase in cyclic solar activity is accompanied by an increase or decrease in air pressure relative to the nodal line, which makes it possible to interpret these changes as baric wave oscillations. A characteristic feature of the nodal line is its consecutive motion over the water area of the Arctic Ocean during the 20th century. The long-term evolution of the baric wave regulates the intensity of the mass transfer between middle and high latitudes, which is accompanied by periods of warming and cooling of the Arctic on corresponding timescales. Spatial differences of the pressure variations in even and odd solar cycles make it possible to interpret a baric wave in the northern polar zone as a natural intermediary combining the circulation of the near-surface atmosphere in the northern Atlantic and Pacific into an integrated oscillating system.</t>
  </si>
  <si>
    <t>Arctic &amp; Antarctic Res Inst, St Petersburg 199397, Russia</t>
  </si>
  <si>
    <t>Arctic &amp; Antarctic Research Institute</t>
  </si>
  <si>
    <t>Egorov, AG (corresponding author), Arctic &amp; Antarctic Res Inst, Ul Beringa 38, St Petersburg 199397, Russia.</t>
  </si>
  <si>
    <t>0016-7932</t>
  </si>
  <si>
    <t>1555-645X</t>
  </si>
  <si>
    <t>GEOMAGN AERONOMY+</t>
  </si>
  <si>
    <t>Geomagn. Aeron.</t>
  </si>
  <si>
    <t>867YT</t>
  </si>
  <si>
    <t>WOS:000224879700016</t>
  </si>
  <si>
    <t>Croxall, JP</t>
  </si>
  <si>
    <t>The potential effects of marine habitat change on Antarctic seabirds</t>
  </si>
  <si>
    <t>IBIS</t>
  </si>
  <si>
    <t>PETREL PAGODROMA-NIVEA; SEA-ICE EXTENT; TOP PREDATOR; POPULATIONS</t>
  </si>
  <si>
    <t>Croxall, JP (corresponding author), British Antarctic Survey, Madingley Rd, Cambridge CB3 0ET, England.</t>
  </si>
  <si>
    <t>j.croxall@bas.ac.uk</t>
  </si>
  <si>
    <t>0019-1019</t>
  </si>
  <si>
    <t>Ibis</t>
  </si>
  <si>
    <t>10.1111/j.1474-919X.2004.00332.x</t>
  </si>
  <si>
    <t>858CD</t>
  </si>
  <si>
    <t>WOS:000224166900014</t>
  </si>
  <si>
    <t>Bradshaw, CJA; Higgins, J; Michael, KJ; Wotherspoon, SJ; Hindell, MA</t>
  </si>
  <si>
    <t>At-sea distribution of female southern elephant seals relative to variation in ocean surface properties</t>
  </si>
  <si>
    <t>ICES JOURNAL OF MARINE SCIENCE</t>
  </si>
  <si>
    <t>bathymetry; elephant seals; environmental variation; generalized additive model; generalized linear model; oceanography; sea surface temperature</t>
  </si>
  <si>
    <t>ANTARCTIC FUR SEALS; SPERM-WHALE DISTRIBUTION; MIROUNGA-LEONINA; FORAGING ECOLOGY; KING PENGUINS; OCEANOGRAPHIC FEATURES; SPATIAL-DISTRIBUTION; MACQUARIE ISLAND; POLAR FRONT; ICE EXTENT</t>
  </si>
  <si>
    <t>We examined the relationships between physical oceanography (sea surface temperature SST, sea surface height anomaly - SSH, ocean colour - OC, bathymetry - BA, sea-ice concentration - SI, and their associated gradients) and the foraging distribution (time at sea) of female southern elephant seals using generalized linear and generalized additive models (GLM and GAM). Using data from 28 separate foraging trips (22 unique individuals) over two years, we found that during the post-lactation trips (summer), the best GLM demonstrated a negative relationship between time at sea and SST and BA, but a positive relationship with SST gradient and SSH. During the post-moult (winter) trips, there was a negative relationship with OC gradient, SSH, and BA. The best post-lactation GAM identified a positive relationship with OC gradient, negative relationships with CC and SST gradient, and a non-linear relationship with SST. For the post-moult trip there was a negative relationship with OC, SST, BA and BA gradient, and a positive relationship with SST gradient. The relationship between the predicted time and observed time at sea was significant only for the post-lactation GAM, although predictability was low. That SST and its gradient predicted a small, but significant proportion of the variation in time at sea is indicative of the frontal zones within this area that are generally more biologically productive than surrounding regions. It appears that coarse-scale oceanographic configuration influences foraging behaviour in southern elephant seals only subtly. Nonetheless, some of the mechanisms influencing predator foraging are congruent with expectations of distribution of marine food resources at coarse spatial scales. (C) 2004 International Council for the Exploration of the Sea. Published by Elsevier Ltd. All rights reserved.</t>
  </si>
  <si>
    <t>Univ Tasmania, Sch Zool, Antarctic Wildlife Res Unit, Hobart, Tas 7001, Australia; Univ Tasmania, Antarctic Cooperat Res Ctr, Hobart, Tas 7001, Australia; Univ Tasmania, Inst Antarctic &amp; So Ocean Studies, Hobart, Tas 7001, Australia; Univ Tasmania, Sch Math &amp; Phys, Hobart, Tas 7001, Australia</t>
  </si>
  <si>
    <t>University of Tasmania; University of Tasmania; University of Tasmania; University of Tasmania</t>
  </si>
  <si>
    <t>Bradshaw, Corey J. A./A-1311-2008; Hindell, Mark A/C-8368-2013; Hindell, Mark A/K-1131-2013; Wotherspoon, Simon J/B-2390-2013; Michael, Kelvin/J-7217-2014</t>
  </si>
  <si>
    <t>Bradshaw, Corey J. A./0000-0002-5328-7741; Wotherspoon, Simon J/0000-0002-6947-4445; Michael, Kelvin/0000-0002-5427-7393; Hindell, Mark/0000-0002-7823-7185</t>
  </si>
  <si>
    <t>1054-3139</t>
  </si>
  <si>
    <t>1095-9289</t>
  </si>
  <si>
    <t>ICES J MAR SCI</t>
  </si>
  <si>
    <t>ICES J. Mar. Sci.</t>
  </si>
  <si>
    <t>10.1016/j.icesjms.2004.07.012</t>
  </si>
  <si>
    <t>Fisheries; Marine &amp; Freshwater Biology; Oceanography</t>
  </si>
  <si>
    <t>863FQ</t>
  </si>
  <si>
    <t>WOS:000224546800015</t>
  </si>
  <si>
    <t>Bignell, DE; Block, W; Baker, AS</t>
  </si>
  <si>
    <t>John Anthony Wallwork - (1932-2004)</t>
  </si>
  <si>
    <t>INTERNATIONAL JOURNAL OF ACAROLOGY</t>
  </si>
  <si>
    <t>Biographical-Item</t>
  </si>
  <si>
    <t>Univ London, Queen Mary Coll, Sch Biol Sci, London E1 4NS, England; British Antarctic Survey, Div Biol Sci, Cambridge CB3 0ET, England; Nat Hist Museum, Dept Entomol, London SW7 5BD, England</t>
  </si>
  <si>
    <t>University of London; Queen Mary University London; UK Research &amp; Innovation (UKRI); Natural Environment Research Council (NERC); NERC British Antarctic Survey; Natural History Museum London</t>
  </si>
  <si>
    <t>Bignell, DE (corresponding author), Univ London, Queen Mary Coll, Sch Biol Sci, Mile End Rd, London E1 4NS, England.</t>
  </si>
  <si>
    <t>d.bignell@qmul.ac.uk; wcb@bas.ac.uk; asb@nhm.ac.uk</t>
  </si>
  <si>
    <t>0164-7954</t>
  </si>
  <si>
    <t>1945-3892</t>
  </si>
  <si>
    <t>INT J ACAROL</t>
  </si>
  <si>
    <t>Int. J. Acarol.</t>
  </si>
  <si>
    <t>10.1080/01647950408684396</t>
  </si>
  <si>
    <t>Entomology</t>
  </si>
  <si>
    <t>850GX</t>
  </si>
  <si>
    <t>WOS:000223600300009</t>
  </si>
  <si>
    <t>Montes, MJ; Mercadé, E; Bozal, N; Guinea, J</t>
  </si>
  <si>
    <t>Paenibacillus antarcticus sp nov., a novel psychrotolerant organism from the Antarctic environment</t>
  </si>
  <si>
    <t>SOUTH SANDWICH ARCHIPELAGO; LATER SUBJECTIVE SYNONYM; ET-AL 1994; GEN-NOV; EMENDED DESCRIPTION; NAKAMURA 1984; BACILLUS-CURDLANOLYTICUS; DEOXYRIBONUCLEIC-ACID; CANDLEMAS ISLAND; VOLCANIC SOIL</t>
  </si>
  <si>
    <t>An endospore-forming strain, 20CM(T), was isolated from Antarctic sediment and identified as a member of the genus Paenibacillus on the basis of phenotypic and phylogenetic analyses. The organism stained Gram-variable and was facultatively anaerobic. Strain 20CM(T) was psychrotolerant, growing optimally at 10-15degreesC. Like other Paenibacillus species, it contained anteiso-C-15:0 as the major cellular fatty acid. The DNA G+C content was 40.7 mol%. 16S rRNA gene sequence analysis placed strain 20CMT within the Paenibacillus cluster, with a similarity value of 99.5% to Paenibacillus macquariensis DSM 2(T). DNA-DNA hybridization experiments between the Antarctic isolate and P. macquariensis DSM 2(T) revealed a reassociation value of 47%, indicating that strain 20CM(T) and P. macquariensis DSM 2(T) belong to different species. Based on evaluation of morphological, physiological, chemotaxonomic and phylogenetic analyses, a novel species, Paenibacillus antarcticus sp. nov., is proposed; the type strain is 20CM(T) ( = LMG 22078(T) = CECT 5836(T)).</t>
  </si>
  <si>
    <t>Univ Barcelona, Fac Farm, Microbiol Lab, E-08028 Barcelona, Spain</t>
  </si>
  <si>
    <t>Univ Barcelona, Fac Farm, Microbiol Lab, Av Joan 23 S-N, E-08028 Barcelona, Spain.</t>
  </si>
  <si>
    <t>jguinea@farmacia.far.ub.es</t>
  </si>
  <si>
    <t>DE FEBRER, NURIA N.B.F. BOZAL/L-7456-2014; Montes, Mª Jesús/L-6430-2014; Mercade, Elena/L-5218-2014</t>
  </si>
  <si>
    <t>Mercade, Elena/0000-0001-7828-2210</t>
  </si>
  <si>
    <t>10.1099/ijs.0.63078-0</t>
  </si>
  <si>
    <t>859JK</t>
  </si>
  <si>
    <t>WOS:000224259100014</t>
  </si>
  <si>
    <t>Van Trappen, S; Tan, TL; Yang, JF; Mergaert, J; Swings, J</t>
  </si>
  <si>
    <t>Glaciecola polaris sp nov., a novel budding and prosthecate bacterium from the Arctic Ocean, and emended description of the genus Glaciecola</t>
  </si>
  <si>
    <t>PSYCHROPHILIC BACTERIA; ANTARCTIC LAKES; MICROBIAL MATS; EKHO LAKE; DNA; HYPERSALINE; ALTEROMONAS; SEQUENCES; SEAS</t>
  </si>
  <si>
    <t>Four strains of cold-adapted, strictly aerobic and facultative oligotrophic bacteria were isolated from polar seas and investigated using a polyphasic taxonomic approach. Two strains (LMG 21857(T) and LMG 21854) derive from Arctic sea water whereas the other two strains (LMG 21855 and LMG 21858) were isolated from Antarctic sea water. Phylogenetic analysis based on 16S rRNA gene sequences indicated that these strains belong to the gamma-subclass of the Proteobacteria and are related to the genus Glaciecola, with 98(.)0-99(.)7% sequence similarity to Glaciecola mesophila and 94(.)2-95(.)3% sequence similarity to Glaciecola punicea, their nearest phylogenetic neighbours. Two strains (LMG 21855 and LMG 21858) were identified as G. mesophila, whereas DNA-DNA hybridization results and differences in phenotypic characteristics showed that the other two strains (LMG 21857T and LMG 21854) constitute a novel species within the genus Glaciecola, with a DNA G+C content of 44(.)0 mol%. The isolates are Gram-negative, chemoheterotrophic, motile, rod-shaped cells that are psychrotolerant and moderately halophilic. Buds can be produced on mother cells and on prosthecae. Branch formation of prosthecae occurs. Whole-cell fatty acid profiles of the isolates are very similar and include C-16:0 and C(16:1)omega7c as the major fatty acid components. On the basis of genotypic and phenotypic properties, a novel species of the genus Glaciecola is described, for which the name Glaciecola polaris sp. nov. is proposed, with isolate LMG 21857T (=CIP 108324(T)=ARK 150(T)) as the type strain. An emended description of the genus Glaciecola is presented.</t>
  </si>
  <si>
    <t>State Univ Ghent, Microbiol Lab, Vakgrp Biochem Fysiol &amp; Microbiol, Ghent, Belgium; Alfred Wegener Inst Polar &amp; Marine Res, Bremerhaven, Germany; Zhejiang Wanli Univ, Ningbo, Peoples R China; State Univ Ghent, BCCM LMG Culture Collect, Ghent, Belgium</t>
  </si>
  <si>
    <t>Ghent University; Helmholtz Association; Alfred Wegener Institute, Helmholtz Centre for Polar &amp; Marine Research; Zhejiang Wanli University; Ghent University</t>
  </si>
  <si>
    <t>Van Trappen, S (corresponding author), State Univ Ghent, Microbiol Lab, Vakgrp Biochem Fysiol &amp; Microbiol, Ghent, Belgium.</t>
  </si>
  <si>
    <t>SOC GENERAL MICROBIOLOGY</t>
  </si>
  <si>
    <t>READING</t>
  </si>
  <si>
    <t>MARLBOROUGH HOUSE, BASINGSTOKE RD, SPENCERS WOODS, READING RG7 1AG, BERKS, ENGLAND</t>
  </si>
  <si>
    <t>10.1099/ijs.0.63123-0</t>
  </si>
  <si>
    <t>WOS:000224259100052</t>
  </si>
  <si>
    <t>Ivanova, EP; Flavier, S; Christen, R</t>
  </si>
  <si>
    <t>Phylogenetic relationships among marine Alteromonas-like proteobacteria:: emended description of the family Alteromonadaceae and proposal of Pseudoalteromonadaceae fam. nov., Colwelliaceae fam. nov., Shewanellaceae fam. nov., Montellaceae fam. nov., Ferrimonadaceae fam. nov., Idiomarinaceae fam. nov and Psychromonadaceae fam. nov.</t>
  </si>
  <si>
    <t>RIBOSOMAL-RNA SEQUENCES; ANTARCTIC SEA-ICE; SP. NOV.; GEN. NOV.; COMB. NOV; PSYCHROPHILIC BACTERIUM; GAMMA-PROTEOBACTERIUM; BAROPHILIC BACTERIUM; DEGRADING BACTERIUM; HALOPLANKTIS ZOBELL</t>
  </si>
  <si>
    <t>The phylogenetic relationships among marine Alteromonas-like bacteria of the genera Alteromonas, Pseudoalteromonas, Glaciecola, Thalassomonas, Colwellia, Idiomarina, Oceanimonas, Oceanisphaera, Shewanella, Moritella, Ferrimonas, Psychromonas and several other genera of the 'Gammaproteobacteria' were studied. Results of 16S rRNA gene sequence analyses revealed that some members of these genera formed several coherent groups at the family level. Characteristic signature oligonucleotides for studied taxa were defined. Signature positions are divided into three classes: (i) single compensatory mutations, (ii) double compensatory mutations and (iii) mutations affecting nucleotides not paired in the secondary structure. The 16S rRNA gene sequence similarity level within genera was 93% or above. This value can be a useful additional criterion for genus discrimination. On the basis of this work and previous polyphasic taxonomic studies, the circumscription of the family Alteromonadaceae is limited to the genera Alteromonas and Glaciecola and the creation is proposed of the families Pseudoalteromonadaceae fam. nov. to accommodate bacteria of the genera Pseudoalteromonas and Algicola gen. nov. (formerly Pseudoalteromonas bacteriolytica) and Colwelliaceae fam. nov. to accommodate bacteria of the genera Colwellia and Thalassomonas. Bacteria of the genera Oceanimonas and Oceanisphaera formed a robust cluster and shared common signature oligonucleotides. Because of deep branching and lack of association with any other genus, the following families are proposed that include single genera: Idiomarinaceae fam. nov., Psychromonadaceae fam. nov., Moritellaceae fam. nov., Ferrimonadaceae fam. nov. and Shewanellaceae fam. nov. Finally, this study also revealed that [Hyphomicrobium] indicum should be reclassified as Photobacterium indicum comb. nov.</t>
  </si>
  <si>
    <t>Swinburne Univ Technol, Ind Res Inst Swinburne, Hawthorn, Vic 3122, Australia; Russian Acad Sci, Pacific Inst Bioorgan Chem, Vladivostok 690022, Russia; Univ Nice, UMR 6543 CNRS, Ctr Biochim, F-06108 Nice 2, France</t>
  </si>
  <si>
    <t>Swinburne University of Technology; Elyakov Pacific Institute of Bioorganic Chemistry; Russian Academy of Sciences; Universite Cote d'Azur</t>
  </si>
  <si>
    <t>Swinburne Univ Technol, Ind Res Inst Swinburne, POB 218, Hawthorn, Vic 3122, Australia.</t>
  </si>
  <si>
    <t>eivanova@swin.edu.au</t>
  </si>
  <si>
    <t>Ivanova, Elena P/B-1255-2019</t>
  </si>
  <si>
    <t>Christen, Richard/0000-0002-3396-4362</t>
  </si>
  <si>
    <t>10.1099/ijs.0.02997-0</t>
  </si>
  <si>
    <t>WOS:000224259100053</t>
  </si>
  <si>
    <t>van den Broeke, M; van As, D; Reijmer, C; van de Wal, R</t>
  </si>
  <si>
    <t>Assessing and improving the quality of unattended radiation observations in Antarctica</t>
  </si>
  <si>
    <t>JOURNAL OF ATMOSPHERIC AND OCEANIC TECHNOLOGY</t>
  </si>
  <si>
    <t>SURFACE-ENERGY BALANCE; AUTOMATIC WEATHER STATIONS; GREENLAND ICE-SHEET; DRONNING MAUD LAND; EAST ANTARCTICA; BLUE ICE; MODEL; SNOW; LINE; VARIABILITY</t>
  </si>
  <si>
    <t>The quality of atmospheric radiation measurements made at automatic weather stations (AWSs) in Antarctica is assessed. The AWSs are placed on the coastal ice shelf in the katabatic wind zone and on the high Antarctic plateau, and they measure shortwave and longwave radiation fluxes using unheated/unventilated Kipp and Zonen (KZ) CM3/CG3 sensors. During three summertime Antarctic experiments, the AWS sensors were directly compared to instruments of a higher standard, the KZ CM11 for shortwave and Eppley PIR for longwave radiation. It was found that the single-domed KZ CM3 is less sensitive to riming than the double-domed KZ CM11. With an accuracy better than 5% for daily averages, the KZ CM3 and CG3 perform better than their specifications. Net shortwave radiation calculated from individual pairs of incoming and reflected fluxes shows large relative errors, and a method is presented to remedy this. Summertime longwave fluxes measured with the KZ CG3 show very good agreement with ventilated Eppley PIR measurements [root-mean-square difference (rmsd) about 1%], but a larger systematic difference is found when comparison is made with unventilated Eppley PIR measurements. Upward extrapolation of snow temperatures suggest that the unventilated Eppley PIR measurements have a systematic offset, but additional measurements are necessary to confirm this. Wintertime riming of the unventilated/unheated KZ CG3 sensor window leads to rejection of 25% - 28% of the LWdown arrow data for the AWS on the ice shelf and the plateau. Replacing these data with parameterized values removes the systematic offset but introduces an uncertainty of 10% - 15%.</t>
  </si>
  <si>
    <t>Univ Utrecht, Inst Marine &amp; Atmospher Res, NL-3508 TA Utrecht, Netherlands</t>
  </si>
  <si>
    <t>Univ Utrecht, Inst Marine &amp; Atmospher Res, POB 800052, NL-3508 TA Utrecht, Netherlands.</t>
  </si>
  <si>
    <t>broeke@phys.uu.nl</t>
  </si>
  <si>
    <t>Van den Broeke, Michiel R./F-7867-2011; van de wal, roderik/D-1705-2011; Reijmer, Carleen H/G-8736-2011</t>
  </si>
  <si>
    <t>Van den Broeke, Michiel R./0000-0003-4662-7565; van de wal, roderik/0000-0003-2543-3892; Reijmer, Carleen H/0000-0001-8299-3883; van As, Dirk/0000-0002-6553-8982</t>
  </si>
  <si>
    <t>0739-0572</t>
  </si>
  <si>
    <t>1520-0426</t>
  </si>
  <si>
    <t>J ATMOS OCEAN TECH</t>
  </si>
  <si>
    <t>J. Atmos. Ocean. Technol.</t>
  </si>
  <si>
    <t>10.1175/1520-0426(2004)021&lt;1417:AAITQO&gt;2.0.CO;2</t>
  </si>
  <si>
    <t>Engineering, Ocean; Meteorology &amp; Atmospheric Sciences</t>
  </si>
  <si>
    <t>Engineering; Meteorology &amp; Atmospheric Sciences</t>
  </si>
  <si>
    <t>851KX</t>
  </si>
  <si>
    <t>WOS:000223685100008</t>
  </si>
  <si>
    <t>Troshichev, OA; Janzhura, A</t>
  </si>
  <si>
    <t>Temperature alterations on the Antarctic ice sheet initiated by the disturbed solar wind</t>
  </si>
  <si>
    <t>JOURNAL OF ATMOSPHERIC AND SOLAR-TERRESTRIAL PHYSICS</t>
  </si>
  <si>
    <t>Antarctica; atmosphere; temperature; solar wind; interplanetary electric field; system of circulation; climate variability</t>
  </si>
  <si>
    <t>FORBUSH-DECREASES; TROPOSPHERIC PARAMETERS; KATABATIC WIND; VARIABILITY; CONNECTION; ATMOSPHERE; CLIMATE; FLUX; FLOW</t>
  </si>
  <si>
    <t>The temperature observations made by the automatic weather stations (AWS) at Dome C II and South Pole ( ftp://amrc.ssec.wisc.edu/pub/aws/lOmin/rdr/) and by automatic meteorological station MILOS at Vostok provided the basis of the analysis. The hourly values of the temperature deviations (AT) have been derived from these measurements for winter season (May-September) of 2000-2001. These values were compared with the hourly solar wind characteristics, such as interplanetary electric field and the solar wind dynamic pressure, the time of the maximum deviation in a proper solar wind parameter being determined as a key moment. Results of our analysis confirm the conclusion of Troshichev et al. (J. Atmos. Solar-Terr. Phys. 65 (2003) 947), that large increases the interplanetary dawn-dusk electric field influence the warming effect on the ground level in the Central Antarctica. However, extent of the solar wind influence on the atmospheric temperature tamed out to be highly different at various sites of the ice sheet: while the temperature response at Dome C II is like to Vostok station, the only slight tendency is displayed at South Pole. The conclusion is made that difference in the temperature effects at Vostok and Dome C II, on the one hand, and South Pole, on the other hand, is determined by different disposition of stations within the katabatic system of circulation. As the pattern of near-surface katabatic winds (Nature 328 (1987) 51) shows, the both stations, Vostok and Dome C II, are situated in zone of Central Antarctic ridge, where the drainage winds take origin. On the contrary, South Pole is out of the Antarctic ridge, in area of the developed drainage winds. It is suggested that the interplanetary electric field influences the katabatic system of atmospheric circulation, typical of the winter Antarctic, by means the global electric circuit affecting clouds and hence the radiation dynamics of the troposphere. (C) 2004 Elsevier Ltd. All rights reserved.</t>
  </si>
  <si>
    <t>Troshichev, OA (corresponding author), Arctic &amp; Antarctic Res Inst, 38 Bering St, St Petersburg 199397, Russia.</t>
  </si>
  <si>
    <t>olegtro@aari.nw.ru</t>
  </si>
  <si>
    <t>1364-6826</t>
  </si>
  <si>
    <t>1879-1824</t>
  </si>
  <si>
    <t>J ATMOS SOL-TERR PHY</t>
  </si>
  <si>
    <t>J. Atmos. Sol.-Terr. Phys.</t>
  </si>
  <si>
    <t>13-14</t>
  </si>
  <si>
    <t>10.1016/j.jastp.2004.05.005</t>
  </si>
  <si>
    <t>Geochemistry &amp; Geophysics; Meteorology &amp; Atmospheric Sciences</t>
  </si>
  <si>
    <t>849SF</t>
  </si>
  <si>
    <t>WOS:000223560300008</t>
  </si>
  <si>
    <t>Makarova, LN; Shirochkov, AV; Nagurny, AP; Rozanov, E; Schmutz, W</t>
  </si>
  <si>
    <t>Parameterization of the heating in the middle stratosphere due to solar wind-induced electric currents</t>
  </si>
  <si>
    <t>solar wind; stratosphere; electric current; rate of ionization; joule heating</t>
  </si>
  <si>
    <t>MAGNETOPAUSE</t>
  </si>
  <si>
    <t>A new mechanism of thermal heating in the middle stratosphere by the solar wind-induced electric currents is proposed. This process occurs mostly at 20-30 km altitude where a permanent layer of heavy ion-clusters is produced by the galactic cosmic rays and by some other sporadically occurring sources. The currents in this layer control the electric fields in the stratosphere. Numerical estimation of the possible atmospheric heating rate due to this process shows that such heating could reach 1-2 K/day that is comparable to the heating due to the absorption of the solar UV radiation. Thus, the electric fields and currents induced by the solar wind energy are candidates for producing relevant additional heating in the middle stratosphere (altitudes 20-30 km). This process may alter the thermal structure of the polar stratosphere and the structure of the polar stratospheric vortex, and as a result, the global climate/weather system. In this paper, we describe the parameterization of this heating suitable for the application in climate and general circulation models. (C) 2004 Elsevier Ltd. All rights reserved.</t>
  </si>
  <si>
    <t>Arctic &amp; Antarctic Res Inst, St Petersburg 199397, Russia; Phys Meteorol Observatorium, CH-7260 Davos, Davos Dorf, Switzerland</t>
  </si>
  <si>
    <t>Arctic &amp; Antarctic Res Inst, St Petersburg 199397, Russia.</t>
  </si>
  <si>
    <t>shirmak@aari.nw.ru</t>
  </si>
  <si>
    <t>Rozanov, Eugene/A-9857-2012; Rozanov, Eugene/V-1881-2018; Schmutz, Werner K/B-4153-2014</t>
  </si>
  <si>
    <t>Rozanov, Eugene/0000-0003-0479-4488; Rozanov, Eugene/0000-0003-0479-4488; Schmutz, Werner K/0000-0003-1159-5639</t>
  </si>
  <si>
    <t>10.1016/j.jastp.2004.05.008</t>
  </si>
  <si>
    <t>WOS:000223560300009</t>
  </si>
  <si>
    <t>Todd, MC; Kniveton, DR</t>
  </si>
  <si>
    <t>Short-term variability in satellite-derived cloud cover and galactic cosmic rays: an update</t>
  </si>
  <si>
    <t>cosmic rays; clouds; climate; ISCCP; Forbush decrease; solar variability</t>
  </si>
  <si>
    <t>SOLAR-CYCLE; MAGNETIC-FIELD; CLIMATE-CHANGE; MISSING LINK; ASSOCIATION; ATMOSPHERE; TRENDS; WIND; FLUX; WAVE</t>
  </si>
  <si>
    <t>Previous work by Todd and Kniveton (TK2001) (J. Geophys. Res. 106(023) (2001) 32031) has indicated a statistically significant association (at the daily timescale) between short-term reductions in galactic cosmic rays, specifically Forbush decrease (FD) events, and reduced cloud cover, mainly over Antarctica (as recorded in International Satellite Cloud Climatology Project (ISCCP) D1 data). This study presents an extension of the previous work using an extended dataset of FD events and ISCCP cloud data over the period 1983-2000, to establish how stable the observed cloud anomalies are. Composite analysis of ISCCP data based on a sample of 32 FD events (excluding those coincident with solar proton events) indicates cloud anomalies with a very similar space/time structure to that previously reported, although of smaller magnitude. Substantial reductions in high level cloud (up to 12% for zonal mean, compared to 18% reported by TK2001) are observed over the high geornagnetic latitudes, especially of the southern hemisphere immediately following FD event onset. Largest anomalies are centred on the Antarctic plateau region during austral winter. However, the largest cloud anomalies occur where the accuracy of the ISCCP cloud retrievals is likely to be lowest, such that the results must be treated with extreme caution. Moreover, significant positive composite mean surface and tropospheric temperature anomalies centred over the same region are also observed for the FD sample from the National Center for Environmental Prediction (NCEP) reanalysis data. Such increased temperatures are inconsistent with the radiative effect of a reduction in high-level cloud during local winter. Overall, the results do not provide strong evidence of a direct galactic cosmic ray/cloud association at short timescales. The results highlight (a) the potential problems of data quality in the high latitude regions (b) the problems inherent in inferring cause and effect relationships from observational data alone (c) the need for further research to test competing hypotheses. (C) 2004 Elsevier Ltd. All rights reserved.</t>
  </si>
  <si>
    <t>UCL, Dept Geog, London WC1H 0AP, England; Univ Sussex, Sch Chem Phys &amp; Environm Sci, Brighton BN1 9QJ, E Sussex, England</t>
  </si>
  <si>
    <t>University of London; University College London; University of Sussex</t>
  </si>
  <si>
    <t>UCL, Dept Geog, 26 Bedford Way, London WC1H 0AP, England.</t>
  </si>
  <si>
    <t>m.todd@geog.ucl.ac.uk</t>
  </si>
  <si>
    <t>todd, martin/I-4143-2015</t>
  </si>
  <si>
    <t>10.1016/j.jastp.2004.05.002</t>
  </si>
  <si>
    <t>WOS:000223560300013</t>
  </si>
  <si>
    <t>Kawahara, H; Nakano, Y; Omiya, K; Muryoi, N; Nishikawa, J; Obata, H</t>
  </si>
  <si>
    <t>Production of two types of ice crystal-controlling proteins in Antarctic bacterium</t>
  </si>
  <si>
    <t>JOURNAL OF BIOSCIENCE AND BIOENGINEERING</t>
  </si>
  <si>
    <t>Pseudomonas fluorescens; ice-nucleating protein; antifreeze protein</t>
  </si>
  <si>
    <t>PSEUDOMONAS-PUTIDA GR12-2; ANTIFREEZE PROTEIN; NUCLEATION; IDENTIFICATION; GROWTH</t>
  </si>
  <si>
    <t>Pseudomonas fluorescens KUAF-68, which was isolated from Antarctica, had both ice-nucleating protein and antifreeze protein activities in the culture broth. We found that both proteins were separately produced based on the results of column chromatography, SDS-PAGE analysis and Southern hybridization. The activity of the ice-nucleating protein was stimulated by the addition of glycine (0.020N%), whereas the activity of the antifreeze protein was stimulated by the addition of L-asparagine (0.025N%). This is the first report on the production of two types of ice crystal-controlling proteins in one bacterial strain.</t>
  </si>
  <si>
    <t>Kansai Univ, Fac Engn, Dept Biotechnol, Suita, Osaka 5658680, Japan; Sci Univ Tokyo, Fac Sci &amp; Technol, Dept Appl Biol Sci, Noda, Chiba 2788510, Japan</t>
  </si>
  <si>
    <t>Kansai University; Tokyo University of Science</t>
  </si>
  <si>
    <t>Kawahara, H (corresponding author), Kansai Univ, Fac Engn, Dept Biotechnol, 3-3-35 Yamate Cho, Suita, Osaka 5658680, Japan.</t>
  </si>
  <si>
    <t>kawahara@ipcku.kansai-u.ac.jp</t>
  </si>
  <si>
    <t>Nishikawa, Jun/AAE-5355-2020</t>
  </si>
  <si>
    <t>SOC BIOSCIENCE BIOENGINEERING JAPAN</t>
  </si>
  <si>
    <t>OSAKA</t>
  </si>
  <si>
    <t>OSAKA UNIV, FACULTY ENGINEERING, 2-1 YAMADAOKA, SUITA, OSAKA, 565-0871, JAPAN</t>
  </si>
  <si>
    <t>1389-1723</t>
  </si>
  <si>
    <t>J BIOSCI BIOENG</t>
  </si>
  <si>
    <t>J. Biosci. Bioeng.</t>
  </si>
  <si>
    <t>10.1016/S1389-1723(04)00271-3</t>
  </si>
  <si>
    <t>Biotechnology &amp; Applied Microbiology; Food Science &amp; Technology</t>
  </si>
  <si>
    <t>878QA</t>
  </si>
  <si>
    <t>WOS:000225660300014</t>
  </si>
  <si>
    <t>Nevitt, G; Reid, K; Trathan, P</t>
  </si>
  <si>
    <t>Testing olfactory foraging strategies in an Antarctic seabird assemblage</t>
  </si>
  <si>
    <t>procellariiform seabird; olfaction; smell; odour cue; pyrazine; petrel; albatross; shearwater</t>
  </si>
  <si>
    <t>SOUTH GEORGIA; PROCELLARIIFORM SEABIRDS; DIMETHYL SULFIDE; KRILL; ATTRACTION; FLOCKS</t>
  </si>
  <si>
    <t>Procellariiform seabirds (petrels, albatrosses and shearwaters) forage over thousands of square kilometres for patchily distributed prey resources. While these birds are known for their large olfactory bulbs and excellent sense of smell, how they use odour cues to locate prey patches in the vast ocean is not well understood. Here, we investigate species-specific responses to 3-methyl pyrazine in a sub-Antarctic species assemblage near South Georgia Island (54degrees00' S, 36degrees00' W). Pyrazines are scented compounds found in macerated Antarctic krill (Euphausia superba), a primary prey item for many seabird species in this region. To examine behavioural attraction to this odour, we presented birds with either scented or 'unscented' vegetable oil slicks at sea. As a positive control for our experiments, we also compared birds' responses to a general olfactory attractant, herring oil. Responses to pyrazine were both highly species specific and consistent with results from earlier studies investigating responses to crude krill extracts. For example, Cape petrels (Daption capense), giant petrels (Macronectes sp.) and white-chinned petrels (Procellaria aequinoctialis) were sighted at least 1.8-4 times as often at pyrazine-scented slicks than at control slicks. Black-browed albatrosses (Diomedea melanophris) were only sighted at pyrazine-scented slicks and never at control slicks. Wilson's storm-petrels (Oceanites oceanicus), black-bellied storm-petrels(Fregetta tropica), great shearwaters (Puffinus gravis) and prions (Pachyptila sp.) were sighted with equal frequency at control and pyrazine-scented slicks. As expected, responses to herring oil were more common. With the exception of great shearwaters (Puffinus gravis), each of these species was sighted up to five times as often at slicks scented with herring oil compared with control slicks. Together, the results support the hypothesis that Antarctic procellariiforms use species-specific foraging strategies that are inter-dependent and more complex than simply tracking prey by scent.</t>
  </si>
  <si>
    <t>Univ Calif Davis, Sect Neurobiol Physiol &amp; Behav, Davis, CA 95616 USA; British Antarctic Survey, Cambridge CB3 OET, England</t>
  </si>
  <si>
    <t>University of California System; University of California Davis; UK Research &amp; Innovation (UKRI); Natural Environment Research Council (NERC); NERC British Antarctic Survey</t>
  </si>
  <si>
    <t>Univ Calif Davis, Sect Neurobiol Physiol &amp; Behav, Davis, CA 95616 USA.</t>
  </si>
  <si>
    <t>ganevitt@ucdavis.edu</t>
  </si>
  <si>
    <t>10.1242/jeb.01198</t>
  </si>
  <si>
    <t>865HW</t>
  </si>
  <si>
    <t>WOS:000224694300015</t>
  </si>
  <si>
    <t>Nyegaard, M; Arkhipkin, A; Brickle, P</t>
  </si>
  <si>
    <t>Variation in the diet of Genypterus blacodes (Ophidiidae) around the Falkland Islands</t>
  </si>
  <si>
    <t>JOURNAL OF FISH BIOLOGY</t>
  </si>
  <si>
    <t>CAMPBELL PLATEAU; LOLIGO-GAHI; SEASON; SIZE; HAKE; PREY</t>
  </si>
  <si>
    <t>The diet change with size, season and area was investigated using the stomachs of 496 kingclip Genypterus blacodes collected around the Falkland Islands (south-west Atlantic) between August 2001 and September 2002. The key prey species were rockcod Patagonotothen spp., benthic isopods and Patagonian grenadier Macruronus magellanicus. Kingclip &lt; 50cm total length (LT) fed mainly on crustaceans and small fishes. With size the diet shifted away from crustaceans towards Patagonolothen spp. in kingclip 50-100 cm LT, and finally towards larger fishes such as M. magellanicus and Micromesistius australis australis in kingclip &gt; 100 cut LT. The niche breadth was highest in fish &gt; 100cm L-T and the lowest in fish &lt; 50 cm L-T. The larger kingclip generally selected larger individuals of the same prey species, with the exception of the Patagonian squid Loligo gahi, where all ingested squid were of similar size, regardless of the predator length. The importance of the main prey species varied substantially between five consequent seasons studied, and appeared to follow the seasonal abundance and availability of prey. The spatial variability in the diet was found in kingclip caught in regions occupied by transformed temperate and sub-Antarctic waters. The rockcod, which is available throughout the year around the Falkland Islands, was the most important prey in the kingclip diet. Kingclip takes advantage of other seasonally abundant prey species during their seasonal migrations (e.g. L. gahi) and also scavenge on discards from fishing vessels when available. (C) 2004 The Fisheries Society of the British Isles.</t>
  </si>
  <si>
    <t>Falkland Isl Govt, Dept Fisheries, Stanley, Falkland Island, England</t>
  </si>
  <si>
    <t>Falkland Isl Govt, Dept Fisheries, POB 598, Stanley, Falkland Island, England.</t>
  </si>
  <si>
    <t>arkhipkin@fisheries.gov.fk</t>
  </si>
  <si>
    <t>Nyegaard, Mette/G-4443-2012</t>
  </si>
  <si>
    <t>Nyegaard, Marianne/0000-0002-9920-2862; Brickle, Paul/0000-0002-9870-3518</t>
  </si>
  <si>
    <t>0022-1112</t>
  </si>
  <si>
    <t>1095-8649</t>
  </si>
  <si>
    <t>J FISH BIOL</t>
  </si>
  <si>
    <t>J. Fish Biol.</t>
  </si>
  <si>
    <t>10.1111/j.0022-1112.2004.00476.x</t>
  </si>
  <si>
    <t>Fisheries; Marine &amp; Freshwater Biology</t>
  </si>
  <si>
    <t>855XK</t>
  </si>
  <si>
    <t>WOS:000224008000005</t>
  </si>
  <si>
    <t>Cantero, ALP; Svoboda, A; Vervoort, W</t>
  </si>
  <si>
    <t>Antarctic hydroids (Cnidaria, Hydrozoa) of the families Campanulinidae, Lafoeidae and Campanulariidae from recent Antarctic expeditions with R. V. Polarstern, with the description of a new species</t>
  </si>
  <si>
    <t>Campanulinidae; Campanulariidae; Lafoeidae; systematics; Weddell Sea; Antarctic Ocean; new species; neotype</t>
  </si>
  <si>
    <t>RV POLARSTERN; SERTULARIIDAE</t>
  </si>
  <si>
    <t>Species of the thecate hydroid families Campanulinidae, Campanulariidae and Lafoeidae have been studied. The material studied originates from the Weddell Sea and was collected by several French and German Antarctic expeditions with R. V. Polarstern. Fourteen species were found, three belonging to Campanulinidae, four to Campanulariidae and seven to Lafoeidae, one of these new to science (Filellum magnificum sp. nov.). The coppinia of Lafoea gaussica Vanhoffen, 1910, is described for the first time as well as the gonothecae of Opercularella belgicae (Hartlaub, 1904). A neotype is indicated for Filellum antarcticum ( Hartlaub, 1904). Available data concerning autecology and geographical distribution for each species are given, as well as a description and figures when considered necessary.</t>
  </si>
  <si>
    <t>Univ Valencia, Dept Biol Anim, Fac Ciencias Biol, E-46100 Valencia, Spain; Ruhr Univ Bochum, Lehrstuhl Spezielle Zool, Fak Biol, D-44780 Bochum, Germany; Natl Museum Nat Hist, NL-2300 RA Leiden, Netherlands</t>
  </si>
  <si>
    <t>University of Valencia; Ruhr University Bochum</t>
  </si>
  <si>
    <t>Cantero, ALP (corresponding author), Univ Valencia, Dept Biol Anim, Fac Ciencias Biol, Dr Moliner 50, E-46100 Valencia, Spain.</t>
  </si>
  <si>
    <t>alvaro.l.pena@uv.es; armin.svoboda@ruhr-uni-bochum.de; vervoort@naturalis.nnm.nl</t>
  </si>
  <si>
    <t>10.1080/00222930310001647361</t>
  </si>
  <si>
    <t>823AJ</t>
  </si>
  <si>
    <t>WOS:000221581800001</t>
  </si>
  <si>
    <t>Qu, TD; Lindstrom, EJ</t>
  </si>
  <si>
    <t>Northward intrusion of Antarctic intermediate water in the western Pacific</t>
  </si>
  <si>
    <t>SOUTH CHINA SEA; EQUATORIAL PACIFIC; OCEAN CIRCULATION; MINDANAO CURRENT; PHILIPPINE SEA; COAST</t>
  </si>
  <si>
    <t>The northward intrusion of Antarctic Intermediate Water (AAIW) is examined using historical data combined with synoptic observations from a repeated hydrographic section in the western Pacific Ocean. The results of this analysis suggest that AAIW is traced as a salinity minimum to only about 15degreesN via the New Guinea Coastal Undercurrent and the Mindanao Undercurrent. There is no northward extension of AAIW farther to the north along the western boundary. Although relatively high oxygen water does exist in the Okinawa Trough, it is connected with high-oxygen water in the South China Sea (SCS) through the Luzon Strait but not from the south as an extension of AAIW. Local circulation seems to play an essential role in localizing the oxygen maximum in the SCS. Evidence exists to suggest that high-oxygen water enters the SCS as part of the Pacific deep water around the still depth (similar to2000 m) of the Luzon Strait; from there, part of it upwells and is entrained into shallower isopycnal surfaces by vertical mixing and eventually flows back to the Pacific through the Luzon Strait at depths of AAIW.</t>
  </si>
  <si>
    <t>Univ Hawaii Manoa, IPRC SOEST, Honolulu, HI 96822 USA; NASA, Off Earth Sci, Washington, DC 20546 USA</t>
  </si>
  <si>
    <t>University of Hawaii System; University of Hawaii Manoa; National Aeronautics &amp; Space Administration (NASA)</t>
  </si>
  <si>
    <t>Univ Hawaii Manoa, IPRC SOEST, 2525 Correa Rd, Honolulu, HI 96822 USA.</t>
  </si>
  <si>
    <t>tangdong@hawaii.edu</t>
  </si>
  <si>
    <t>Lindstrom, Eric/0000-0002-4393-2276</t>
  </si>
  <si>
    <t>10.1175/1520-0485(2004)034&lt;2104:NIOAIW&gt;2.0.CO;2</t>
  </si>
  <si>
    <t>856WE</t>
  </si>
  <si>
    <t>WOS:000224075300012</t>
  </si>
  <si>
    <t>Iguchi, N; Ikeda, T</t>
  </si>
  <si>
    <t>Metabolism and elemental composition of aggregate and solitary forms of Salpa thompsoni (Tunicata: Thaliacea) in waters off the Antarctic Peninsula during austral summer 1999</t>
  </si>
  <si>
    <t>FUSIFORMIS CUVIER TUNICATA; KRILL EUPHAUSIA-SUPERBA; AMMONIA EXCRETION; NONGELATINOUS ZOOPLANKTON; PHOSPHATE EXCRETION; OXYGEN-CONSUMPTION; CARBON; RESPIRATION; RATES; NITROGEN</t>
  </si>
  <si>
    <t>Oxygen consumption, ammonia excretion and phosphate excretion rates were measured on the aggregate form (aggregated sexual blastozooid generation) and solitary form (solitary asexual oozooid generation) of Salpa thompsoni sampled from waters off the Antarctic Peninsula from December 1999 to February 2000, in conjunction with body composition analysis (water, ash, carbon, nitrogen and phosphorus). The specific metabolic rates of S. thompsoni were weight-independent. No significant differences between the aggregate and solitary forms were observed for the weight-specific rates with the exception of the oxygen consumption rate on phosphorus weight. Metabolic loss estimated for the aggregate and solitary forms was 3.0 and 3.5% day(-1) for body carbon, 1.6 and 1.8% for body nitrogen, 3.9 and 10.6% for body phosphorus, respectively. Contents of carbon (6.0% of dry weight for the aggregate form and 5.1% for the solitary form), nitrogen (1.5 and 1.3%) and phosphorus (0.15 and 0.11%) tended to decrease with the increase of dry weight. All mean values of each body constituent (water, ash, C, N and P) for the aggregate and solitary forms were not significantly different in the same dry weight ranges.</t>
  </si>
  <si>
    <t>Fisheries Res Agcy, Japan Sea Natl Fisheries Res Inst, Niigata 9518121, Japan; Hokkaido Univ, Grad Sch Fisheries Sci, Marine Biodivers Lab, Hakodate, Hokkaido 0410821, Japan</t>
  </si>
  <si>
    <t>Japan Fisheries Research &amp; Education Agency (FRA); Hokkaido University</t>
  </si>
  <si>
    <t>Fisheries Res Agcy, Japan Sea Natl Fisheries Res Inst, 1 Suido Cho, Niigata 9518121, Japan.</t>
  </si>
  <si>
    <t>iguchi@affrc.go.jp</t>
  </si>
  <si>
    <t>10.1093/plankt/fbh093</t>
  </si>
  <si>
    <t>855BQ</t>
  </si>
  <si>
    <t>WOS:000223948300005</t>
  </si>
  <si>
    <t>Vaughan, APM; Dowling, LA; Mitchell, FJG; Lauritzen, SE; McCabe, AM; Coxon, P</t>
  </si>
  <si>
    <t>Depositional and post-depositional history of warm stage deposits at Knocknacran, Co. Monaghan, Ireland: implications for preservation of Irish last interglacial deposits</t>
  </si>
  <si>
    <t>JOURNAL OF QUATERNARY SCIENCE</t>
  </si>
  <si>
    <t>Gortian; peat; karst; gypsum; soft-sediment deformation; mantled karst</t>
  </si>
  <si>
    <t>GLACIAL STRATIGRAPHY; POLLEN RECORD; PLEISTOCENE; SEDIMENTS; CAVE; CLIMATE; BENEATH; MARINE; PEAT</t>
  </si>
  <si>
    <t>Organic-rich deposits, uncovered during overburden removal from mantled gypsum karst at Knocknacran opencast gypsum mine, Co. Monaghan, are the best candidate to date for a last interglacial record in Ireland. The two till and organic-rich deposits (preserved at different quarry elevations) were emplaced on to a Tertiary dolerite surface during high-energy flood events and subsequently folded and faulted by movement towards sinkholes in underlying gypsum. Uranium-thorium disequilibrium dating suggests that the organic-rich deposits in the upper section were hydrologically isolated at ca. 41 ka and those in the lower section at ca. 86 ka. Interpretation of the pollen content, although tentative because of the depositional and post-depositional history of the material, suggests that the organic material originated in a warm stage possibly warmer than the post-Eemian interstadials. The unusual setting of preservation may indicate that in situ, last interglacial deposits have generally been removed by erosion in Ireland. Copyright (C) 2004 John Wiley Sons, Ltd.</t>
  </si>
  <si>
    <t>British Antarctic Survey, Cambridge CB3 0ET, England; Univ Dublin Trinity Coll, Dept Geog, Dublin 2, Ireland; Univ Dublin Trinity Coll, Sch Bot, Dublin 2, Ireland; Univ Bergen, Dept Geol, N-5007 Bergen, Norway; Univ Ulster, Sch Biol &amp; Environm Sci, Coleraine BT52 1SA, Londonderry, North Ireland</t>
  </si>
  <si>
    <t>UK Research &amp; Innovation (UKRI); Natural Environment Research Council (NERC); NERC British Antarctic Survey; Trinity College Dublin; Trinity College Dublin; University of Bergen; Ulster University</t>
  </si>
  <si>
    <t>Vaughan, APM (corresponding author), British Antarctic Survey, High Cross,Madingley Rd, Cambridge CB3 0ET, England.</t>
  </si>
  <si>
    <t>a.vaughan@bas.ac.uk</t>
  </si>
  <si>
    <t>Mitchell, Fraser J G/L-9292-2014; Vaughan, Alan PM/B-7829-2010</t>
  </si>
  <si>
    <t>Mitchell, Fraser/0000-0002-9857-5632</t>
  </si>
  <si>
    <t>0267-8179</t>
  </si>
  <si>
    <t>1099-1417</t>
  </si>
  <si>
    <t>J QUATERNARY SCI</t>
  </si>
  <si>
    <t>J. Quat. Sci.</t>
  </si>
  <si>
    <t>10.1002/jqs.864</t>
  </si>
  <si>
    <t>852DO</t>
  </si>
  <si>
    <t>WOS:000223735600006</t>
  </si>
  <si>
    <t>Passchier, S</t>
  </si>
  <si>
    <t>Variability in geochemical provenance and weathering history of Sirius Group strata, transantarctic mountains: Implications for Antarctic glacial history</t>
  </si>
  <si>
    <t>JOURNAL OF SEDIMENTARY RESEARCH</t>
  </si>
  <si>
    <t>SOUTHERN VICTORIA LAND; QUEEN-ALEXANDRA-RANGE; ICE-SHEET; KIRKPATRICK-BASALT; SEDIMENTARY; MARINE; ROCKS; CHEMISTRY; EVOLUTION; CLIMATE</t>
  </si>
  <si>
    <t>The major-element and trace-element geochemistry of 57 diamicts and muds of the Sirius Group is evaluated to determine the provenance and stratigraphic relations of geographically widespread outcrops in the Transantarctic Mountains. The origin and age of the Sirius Group are heavily debated because of the presence of marine diatoms inferred to indicate a reduced East Antarctic ice sheet as recent as the Pliocene. A key question is whether glaciers transported sediments and the enclosed diatoms from the East Antarctic interior to the Transantarctic Mountains. Major-element and trace-element ratios indicate that the greater part of the Sirius Group sediments have an East Antarctic provenance and that a few high-elevation deposits are locally derived. The degree of chemical weathering of the materials in the Sirius Group, expressed as the chemical index of alteration (CIA), has a wide range (41-70). On the basis of geochemical provenance, weathering intensity, and morphostratigraphic position, the Sirius Group can be subdivided into three subgroups, which probably represent multiple glacial phases: (1) sediments with a local provenance from high-elevation outcrops on spurs and mountain summits, &gt; 2000 m, which contain abundant weathered materials; (2) sediments in high-elevated outcrops, &gt; 2000 m, with intermediate CIAs, originating from an East Antarctic Ice Sheet, which was overriding parts of the Transantarctic Mountains and; (3) sediments recovered within, or on the margins of, the present glacial troughs at 1500-1800 m, with low CIAs and an East Antarctic provenance. Comparison with the weathering history inferred from drilling records in the nearby Victoria Land Basin reveals that glaciation in the Transantarctic Mountains probably commenced with small ice caps and alpine glaciers prior to the Eocene-Oligocene transition, and from the Oligocene onward continued with multiple phases of continental glaciation. These results and interpretations contribute considerably to the understanding of the landscape evolution of the Transantarctic Mountains, the Sirius Group debate, and the history of East Antarctic glaciation.</t>
  </si>
  <si>
    <t>Ohio State Univ, Dept Geol Sci, Columbus, OH USA; Ohio State Univ, Byrd Polar Res Ctr, Columbus, OH USA</t>
  </si>
  <si>
    <t>Passchier, S (corresponding author), TNO, NITG Natl Geol Survey Geomarine &amp; Coast, POB 80015, NL-3508 TA Utrecht, Netherlands.</t>
  </si>
  <si>
    <t>s.passchier@nitg.tno.nl</t>
  </si>
  <si>
    <t>Passchier, Sandra/GYU-2381-2022; Passchier, Sandra/B-1993-2008; Passchier, Sandra/AAQ-2243-2021</t>
  </si>
  <si>
    <t>Passchier, Sandra/0000-0001-7204-7025; Passchier, Sandra/0000-0001-7204-7025</t>
  </si>
  <si>
    <t>SEPM-SOC SEDIMENTARY GEOLOGY</t>
  </si>
  <si>
    <t>TULSA</t>
  </si>
  <si>
    <t>6128 EAST 38TH ST, STE 308, TULSA, OK 74135-5814 USA</t>
  </si>
  <si>
    <t>1527-1404</t>
  </si>
  <si>
    <t>1938-3681</t>
  </si>
  <si>
    <t>J SEDIMENT RES</t>
  </si>
  <si>
    <t>J. Sediment. Res.</t>
  </si>
  <si>
    <t>10.1306/022704740607</t>
  </si>
  <si>
    <t>852DA</t>
  </si>
  <si>
    <t>WOS:000223734200002</t>
  </si>
  <si>
    <t>Galbraith, B</t>
  </si>
  <si>
    <t>Under Antarctic ice: The photographs of Norbert Wu.</t>
  </si>
  <si>
    <t>Washington State Univ, Owen Sci &amp; Engn Lib, Pullman, WA 99164 USA</t>
  </si>
  <si>
    <t>Washington State University</t>
  </si>
  <si>
    <t>Galbraith, B (corresponding author), Washington State Univ, Owen Sci &amp; Engn Lib, Pullman, WA 99164 USA.</t>
  </si>
  <si>
    <t>+</t>
  </si>
  <si>
    <t>851GW</t>
  </si>
  <si>
    <t>WOS:000223674600254</t>
  </si>
  <si>
    <t>Verleyen, E; Hodgson, DA; Leavitt, PR; Sabbe, K; Vyverman, W</t>
  </si>
  <si>
    <t>Quantifying habitat-specific diatom production: A critical assessment using morphological and biogeochemical markers in Antarctic marine and lake sediments</t>
  </si>
  <si>
    <t>EAST ANTARCTICA; LARSEMANN HILLS; PHYTOPLANKTON PIGMENTS; PRESERVATION; CHLOROPHYLLS; COMMUNITIES; CAROTENOIDS; SENESCENCE; DYNAMICS; ISLANDS</t>
  </si>
  <si>
    <t>Reconstructions of historical primary production, and of the algal groups and habitats that contribute to it, are fundamental in studies of climate and environmental change in both marine and freshwater environments. The aims of this study were to critically evaluate morphological and biogeochemical markers of diatom production by direct comparison of diatom marker pigments with absolute diatom biovolume and to partition diatom production between the main habitats (plankton, sea ice, and benthos). Sediments in two cores from the Larsemann Hills, Antarctica, spanning the last 10,000 yr, were analyzed for siliceous microfossils by microscopy and for fossil pigments by high-performance liquid chromatography. Diatom pigments (diadinoxanthin, diatoxanthin, fucoxanthin) were highly correlated (r(2) = 0.557 and 0.358, p &lt; 0.0001) with diatom biovolume in the marine intervals of both cores, but only weakly correlated in the lacustrine sections (r(2) = 0.102, p = 0.111; r(2) = 0.223, p = 0.001, after correction for temporal autocorrelation), possibly because of frustule dissolution and selective degradation of diadinoxanthin and diatoxanthin. In contrast, fucoxanthin was better preserved. By combining both microfossil and pigment proxies, we obtained a first estimate of diatom production in specific habitats (benthic and planktonic). Benthic diatom production was greatest in the lacustrine core sections, when benthic microbial mats dominated the flora, whereas diatoms were associated mainly with the water column and sea ice during the marine intervals. The combination of both proxies in marine and freshwater environments permits more accurate interpretation of pigment and diatom data in paleo- and neoecological research and the partitioning of diatom production between habitats.</t>
  </si>
  <si>
    <t>State Univ Ghent, Lab Protistol &amp; Aquat Ecol, B-9000 Ghent, Belgium; NERC, British Antarct Survey, Cambridge CB3 0ET, England; Univ Regina, Dept Biol, Limnol Lab, Regina, SK S4S 0A2, Canada; State Univ Ghent, Lab Protistol &amp; Aquat Ecol, B-9000 Ghent, Belgium</t>
  </si>
  <si>
    <t>Ghent University; UK Research &amp; Innovation (UKRI); Natural Environment Research Council (NERC); NERC British Antarctic Survey; University of Regina; Ghent University</t>
  </si>
  <si>
    <t>Verleyen, E (corresponding author), State Univ Ghent, Lab Protistol &amp; Aquat Ecol, Krijgslaan 281-S8, B-9000 Ghent, Belgium.</t>
  </si>
  <si>
    <t>elie.verleyen@UGent.be</t>
  </si>
  <si>
    <t>Leavitt, Peter R/0000-0001-9805-9307</t>
  </si>
  <si>
    <t>10.4319/lo.2004.49.5.1528</t>
  </si>
  <si>
    <t>869JT</t>
  </si>
  <si>
    <t>WOS:000224979900006</t>
  </si>
  <si>
    <t>Laidre, KL; Heide-Jorgensen, MP; Logdson, ML; Hobbs, RC; Heagerty, P; Dietz, R; Jorgensen, OA; Treble, MA</t>
  </si>
  <si>
    <t>Seasonal narwhal habitat associations in the high Arctic</t>
  </si>
  <si>
    <t>ANTARCTIC FUR SEALS; MONODON-MONOCEROS; DIVING BEHAVIOR; FORAGING BEHAVIOR; BAFFIN-ISLAND; SPACE USE; SELECTION; GREENLAND; MOVEMENTS; NORTHWEST</t>
  </si>
  <si>
    <t>Movements and behavior of top marine predators are often closely linked with productive oceanic fronts or regional prey aggregations. Consequently, it is of interest to quantify habitat needs and preferences, which can facilitate predictions of conditions favoring persistence and success. Multivariate habitat models of movements and dive behavior of narwhals (Monodon monoceros, Linnaeus) in the eastern Canadian high Arctic and West Greenland were developed using data collected from satellite telemetry studies on three separate sub-populations. Twenty-six narwhals were captured between 1993 and 2000 and fitted with satellite-linked time-depth recorders. Geographic positions of whales at 24-h time steps were linked to dive behavior variables compressed on a daily scale, including numbers of dives to different target depths or durations, time near the surface, daily dive rate, and travel speed. Whale movements and behavior were linked to biophysical variables in a raster format using a GIS (bathymetry, bottom topography, bottom temperature, and distance from the coastline) and analyzed using linear and generalized linear mixed models, accounting for temporal autocorrelation and random variation among individuals. Models suggested that several physical variables described narwhal behavior, predominantly bathymetry and distance from the coastline (particularly deep or long dives). Other descriptor variables, such as size category and sex, also explained portions of the model variability, particularly for shallow dives, surface time, and dive rates. Bottom temperature (degreesC) was the strongest predictor of all dive behaviors when narwhal location data were restricted to periods with available temperatures. The bottom temperature range and gradient selected by narwhals on their wintering grounds often coincided with areas of concurrent high density of Greenland halibut (Reinhardtius hippoglossoides, Walbaum) and predictable open water in winter pack ice in Baffin Bay. These quantitative habitat models made it possible to reconcile the behavioral traits of narwhals with dynamic environmental factors.</t>
  </si>
  <si>
    <t>Univ Washington, Sch Aquat &amp; Fishery Sci, Seattle, WA 98195 USA; Greenland Inst Nat Resources, Nuuk 3900, Greenland; Univ Washington, Coll Ocean &amp; Fishery Sci, Seattle, WA 98195 USA; AFSC, Natl Marine Mammal Lab, Seattle, WA 98115 USA; Univ Washington, Dept Biostat, Seattle, WA 98195 USA; Natl Environm Res Inst, Dept Arctic Environm, DK-4000 Roskilde, Denmark; Danish Inst Fisheries Res, DK-2920 Charlottenlund, Denmark; Fisheries &amp; Oceans Canada, Cent Arctic Reg, Inst Freshwater, Sci Lab, Winnipeg, MB RT3 2N6, Canada</t>
  </si>
  <si>
    <t>University of Washington; University of Washington Seattle; Greenland Institute of Natural Resources; University of Washington; University of Washington Seattle; National Oceanic Atmospheric Admin (NOAA) - USA; University of Washington; University of Washington Seattle; Aarhus University; Fisheries &amp; Oceans Canada</t>
  </si>
  <si>
    <t>Laidre, KL (corresponding author), Univ Washington, Sch Aquat &amp; Fishery Sci, Box 355020, Seattle, WA 98195 USA.</t>
  </si>
  <si>
    <t>Kristin.Laidre@noaa.gov</t>
  </si>
  <si>
    <t>Dietz, Rune/L-4640-2013; Heide-Jørgensen, Mads Peter/F-6464-2011; Dietz, Rune/F-9154-2015</t>
  </si>
  <si>
    <t>Dietz, Rune/0000-0001-9652-317X</t>
  </si>
  <si>
    <t>10.1007/s00227-004-1371-1</t>
  </si>
  <si>
    <t>862YO</t>
  </si>
  <si>
    <t>WOS:000224527600020</t>
  </si>
  <si>
    <t>Davidson, IC; Crook, AC; Barnes, DKA</t>
  </si>
  <si>
    <t>Macrobenthic migration and its influence on the intertidal diversity dynamics of a meso-tidal system</t>
  </si>
  <si>
    <t>NATURAL CONDITIONS; FISH FAUNA; DIEL; DISPERSAL; REEF; BIODIVERSITY; PREDATORS; MOVEMENTS; BEHAVIOUR; PATTERNS</t>
  </si>
  <si>
    <t>The link between movement and migration of organisms to patterns of biodiversity may be an important mechanism of biodiversity maintenance at local scales. but is regularly underestimated in marine studies. Patterns of diversity, density and distribution of all mobile macrofaunal components of an intertidal assemblage were quantitatively investigated throughout diurnal and tidal cycles In a meso-tidal system southwest Ireland. A significant trend of decreasing diversity with shore height was observed during periods of emersion at both day and night, but not during immersion. While certain taxa (e.g. the isopod Ligia oceanica and the sea mite Erythraeus sp.) exhibited obvious patterns of activity and migration with tide and time, the majority of species were observed to be sedentary or showed no obvious pattern of migration. The influence of rare, transient species on biodiversity measurement and community structure was significant, particularly during periods of immersion. In order to produce meaningful descriptions of intertidal biodiversity, it is therefore crucial that future studies be conducted during periods of immersion and emersion, and that they should consider the influence of migrating species.</t>
  </si>
  <si>
    <t>Natl Univ Ireland Univ Coll Cork, Dept Zool Ecol &amp; Plant Sci, Cork, Ireland; Univ Reading, Ctr Dev Teaching &amp; Learning, Reading RG6 6AH, Berks, England; British Antarctic Survey, NERC, Div Biol Sci, Cambridge CB3 0ET, England</t>
  </si>
  <si>
    <t>University College Cork; University of Reading; UK Research &amp; Innovation (UKRI); Natural Environment Research Council (NERC); NERC British Antarctic Survey</t>
  </si>
  <si>
    <t>Natl Univ Ireland Univ Coll Cork, Dept Zool Ecol &amp; Plant Sci, Lee Maltings,Prospect Row, Cork, Ireland.</t>
  </si>
  <si>
    <t>icdavidson@eircom.net</t>
  </si>
  <si>
    <t>Davidson, Ian/0000-0002-8729-6048</t>
  </si>
  <si>
    <t>10.1007/s00227-004-1373-z</t>
  </si>
  <si>
    <t>WOS:000224527600021</t>
  </si>
  <si>
    <t>Verling, E; Crook, AC; Barnes, DKA</t>
  </si>
  <si>
    <t>The dynamics of covering behaviour in dominant echinoid populations from American and European west coasts</t>
  </si>
  <si>
    <t>MARINE ECOLOGY-PUBBLICAZIONI DELLA STAZIONE ZOOLOGICA DI NAPOLI I</t>
  </si>
  <si>
    <t>echinoid; covering behaviour; boring behaviour; behavioural variability</t>
  </si>
  <si>
    <t>SEA-URCHIN; PARACENTROTUS-LIVIDUS; STRONGYLOCENTROTUS-PURPURATUS; MASS MORTALITIES; LOUGH INE; ECOLOGY; DROEBACHIENSIS; ECHINODERMATA; AVAILABILITY; MIGRATION</t>
  </si>
  <si>
    <t>The so-called 'covering behaviour' of echinoids is known to vary with habitat according to the types of covering items available, but the full extent of the role played by habitat characteristics in this behaviour is not known. Moreover, whether or not different species inhabiting similar environmental conditions and habitats also show similar patterns of this particular behaviour has yet to be investigated. In this study, two prominent west coast echinoid species, Paracentrotus lividus and Strongylocentrotus purpuratus, were examined with respect to covering behaviour and spatial organisation. Populations of both species are found in exposed intertidal zones, occupying boreholes within tidepools. Important similarities were found in the spatial organisation of both species' populations, with lowest densities in upper shore pools. However, the size distributions of the two populations differed significantly; P. lividus within upper shore pools were significantly larger than those in mid or lower shore pools, whereas S. purpuratus on the lower shore were significantly larger than those at other shore heights. We found significant between-species variability in covering item use, although the number of covering items available at both sites was not significantly different. For example, greater densities of covering items were used by P. lividus than by S. purpuratus. We also found that the percent of echinoid surface area covered varied significantly in space for both species. These data emphasise the complex and multifaceted nature of covering behaviour, but most importantly, they also strongly suggest that habitat characteristics can only partly explain the extent of this behavioural variability amongst echinoid species.</t>
  </si>
  <si>
    <t>Natl Univ Ireland Univ Coll Cork, Dept Zool Ecol &amp; Plant Sci, Cork, Ireland; British Antarctic Survey, Div Biol Sci, Cambridge CB3 0ET, England</t>
  </si>
  <si>
    <t>University College Cork; UK Research &amp; Innovation (UKRI); Natural Environment Research Council (NERC); NERC British Antarctic Survey</t>
  </si>
  <si>
    <t>Smithsonian Environm Res Ctr, Marine Invas Res Lab, 647 Contees Wharf Rd, Edgewater, MD 21037 USA.</t>
  </si>
  <si>
    <t>verlinge@si.edu</t>
  </si>
  <si>
    <t>Verling, Emma/0000-0002-1019-5812</t>
  </si>
  <si>
    <t>0173-9565</t>
  </si>
  <si>
    <t>MAR ECOL-P S Z N I</t>
  </si>
  <si>
    <t>Mar. Ecol.-Pubbl. Stn. Zool. Napoli</t>
  </si>
  <si>
    <t>10.1111/j.1439-0485.2004.00025.x</t>
  </si>
  <si>
    <t>854BS</t>
  </si>
  <si>
    <t>WOS:000223875800002</t>
  </si>
  <si>
    <t>Stagg, HMJ; Colwel, JB; Direen, NG; O'Brien, PE; Bernardel, G; Borissova, I; Brown, BJ; Ishirara, T</t>
  </si>
  <si>
    <t>Geology of the continental margin of Enderby and Mac. Robertson Lands, East Antarctica: Insights from a regional data set</t>
  </si>
  <si>
    <t>MARINE GEOPHYSICAL RESEARCH</t>
  </si>
  <si>
    <t>KERGUELEN PLATEAU; OCEANIC-CRUST; ELAN BANK; PRYDZ BAY; ANOMALIES; ORIGIN</t>
  </si>
  <si>
    <t>In 2001 and 2002, Australia acquired an integrated geophysical data set over the deep-water continental margin of East Antarctica from west of Enderby Land to offshore from Prydz Bay. The data include approximately 7700 km of high-quality, deep-seismic data with coincident gravity, magnetic and bathymetry data, and 37 non-reversed refraction stations using expendable sonobuoys. Integration of these data with similar quality data recorded by Japan in 1999 allows a new regional interpretation of this sector of the Antarctic margin. This part of the Antarctic continental margin formed during the breakup of the eastern margin of India and East Antarctica, which culminated with the onset of seafloor spreading in the Valanginian. The geology of the Antarctic margin and the adjacent oceanic crust can be divided into distinct east and west sectors by an interpreted crustal boundary at approximately 58 degrees E. Across this boundary, the continent-ocean boundary (COB), defined as the inboard edge of unequivocal oceanic crust, steps outboard from west to east by about 100 km. Structure in the sector west of 58 degrees E is largely controlled by the mixed rift-transform setting. The edge of the onshore Archaean-Proterozoic Napier Complex is downfaulted oceanwards near the shelf edge by at least 6 km and these rocks are interpreted to underlie a rift basin beneath the continental slope. The thickness of rift and pre-rift rocks cannot be accurately determined with the available data, but they appear to be relatively thin. The margin is overlain by a blanket of post-rift sedimentary rocks that are up to 6 km thick beneath the lower continental slope. The COB in this sector is interpreted from the seismic reflection data and potential field modelling to coincide with the base of a basement depression at 8.0-8.5 s two-way time, approximately 170 km oceanwards of the shelf-edge bounding fault system. Oceanic crust in this sector is highly variable in character, from rugged with a relief of more than 1 km over distances of 10-20 km, to rugose with low-amplitude relief set on a long-wavelength undulating basement. The crustal velocity profile appears unusual, with velocities of 7.6-7.95 km s(-1) being recorded at several stations at a depth that gives a thickness of crust of only 4 km. If these velocities are from mantle, then the thin crust may be due to the presence of fracture zones. Alternatively, the velocities may be coming from a lower crust that has been heavily altered by the intrusion of mantle rocks. The sector east of 58 degrees E has formed in a normal rifted margin setting, with complexities in the east from the underlying structure of the N-S trending Palaeozoic Lambert Graben. The Napier Complex is downfaulted to depths of 8-10 km beneath the upper continental slope, and the margin rift basin is more than 300 km wide. As in the western sector, the rift-stage rocks are probably relatively thin. This part of the margin is blanketed by post-rift sediments that are up to about 8 km thick. The interpreted COB in the eastern sector is the most prominent boundary in deep water, and typically coincides with a prominent oceanwards step-up in the basement level of up to 1 km. As in the west, the interpretation of this boundary is supported by potential field modelling. The oceanic crust adjacent to the COB in this sector has a highly distinctive character, commonly with (1) a smooth upper surface underlain by short, seaward-dipping flows; (2) a transparent upper crustal layer; (3) a lower crust dominated by dipping high-amplitude reflections that probably reflect intruded or altered shears; (4) a strong reflection Moho, confirmed by seismic refraction modelling; and (5) prominent landward-dipping upper mantle reflections on several adjacent lines. A similar style of oceanic crust is also found in contemporaneous ocean basins that developed between Greater India and Australia-Antarctica west of Bruce Rise on the Antarctic margin, and along the Cuvier margin of northwest Australia.</t>
  </si>
  <si>
    <t>Geosci Australia, Canberra, ACT, Australia; Univ Adelaide, Continental Evolut Res Grp, Adelaide, SA 5005, Australia; Univ Sydney, Sch Geosci, Sydney, NSW 2006, Australia; Geol Survey Japan, Tsukuba, Ibaraki 305, Japan</t>
  </si>
  <si>
    <t>Geoscience Australia; University of Adelaide; University of Sydney</t>
  </si>
  <si>
    <t>Geosci Australia, Canberra, ACT, Australia.</t>
  </si>
  <si>
    <t>Howard.stagg@ga.gov.au</t>
  </si>
  <si>
    <t>Brown, Benjamin J/J-7893-2017; Direen, Nicholas/E-6288-2011; Direen, Nicholas/P-5949-2019; Direen, Nicholas G/C-5466-2013</t>
  </si>
  <si>
    <t>Direen, Nicholas/0000-0002-4466-7064; Direen, Nicholas G/0000-0002-4466-7064; O'Brien, Philip/0000-0003-3446-3292</t>
  </si>
  <si>
    <t>0025-3235</t>
  </si>
  <si>
    <t>1573-0581</t>
  </si>
  <si>
    <t>MAR GEOPHYS RES</t>
  </si>
  <si>
    <t>Mar. Geophys. Res.</t>
  </si>
  <si>
    <t>10.1007/s11001-005-1316-1</t>
  </si>
  <si>
    <t>Geochemistry &amp; Geophysics; Oceanography</t>
  </si>
  <si>
    <t>968LE</t>
  </si>
  <si>
    <t>WOS:000232163200002</t>
  </si>
  <si>
    <t>Kuvaas, B; Kristoffersen, Y; Guseva, J; Leitchenkov, G; Gandjukhin, V; Kudryavtsev, G</t>
  </si>
  <si>
    <t>Input of glaciomarine sediments along the East Antarctic continental margin;: depositional processes on the Cosmonaut Sea continental slope and rise and a regional acoustic stratigraphic correlation from 40° W to 80° E</t>
  </si>
  <si>
    <t>Antarctica; bottom currents; contourites; Cosmonaut Sea; glacial advances; glaciomarine sediments; Prydz Bay; Riiser Larsen Sea; turbidites; Weddell Sea</t>
  </si>
  <si>
    <t>TROUGH-MOUTH FAN; WEDDELL SEA; ICE-SHEET; HISTORY; TURBIDITE; MORPHOLOGY; SYSTEMS; BASIN; BAY</t>
  </si>
  <si>
    <t>Multichannel seismic reflection data from the Cosmonaut Sea margin of East Antarctica have been interpreted in terms of depositional processes in the continental slope and rise area. A major sediment lens is present below the upper continental rise along the entire Cosmonaut Sea margin. The lens probably consists of sediments supplied from the shelf and slope, being constantly reworked by westward flowing bottom currents, which redeposited the sediments into a large scale drift deposit prior to the main glaciogenic input along the margin. High-relief semicircular or elongated depositional structures are also found on the upper continental rise stratigraphically above the regional sediment lens, and were deposited by the combined influence of downslope and alongslope sediment transport. On the lower continental rise, large-scale sediment bodies extend perpendicular to the continental margin and were deposited as a result of downslope turbidity transport and westward flowing bottom currents after initiation of glacigenic input to the slope and rise. We compare the seismostratigraphic signatures along the continental margin segments of the adjacent Riiser Larsen Sea, the Weddell Sea and the Prydz Bay/Cooperation Sea, focussing on indications that may be interpreted as a preglacial-glaciomarine transition in the depositional environment. We suggest that earliest glaciogenic input to the continental slope and rise occurred in the Prydz Bay and possibly in the Weddell Sea. At a later stage, an intensification of the oceanic circulation pattern occurred, resulting in the deposition of the regional plastered drift deposit along the Cosmonaut Sea margin, as well as the initiation of large drift deposits in the Cooperation Sea. At an even later stage, possibly in the middle Miocene, glacial advances across the continental shelf were initiated along the Cosmonaut Sea and the Riiser Larsen Sea continental margins.</t>
  </si>
  <si>
    <t>Univ Bergen, Dept Earth Sci, N-5007 Bergen, Norway; PMGRE, Lomonosov 189510, Russia; VNIIOkeangeologia, St Petersburg 190121, Russia</t>
  </si>
  <si>
    <t>Univ Bergen, Dept Earth Sci, Allegaten 41, N-5007 Bergen, Norway.</t>
  </si>
  <si>
    <t>berit.kuvaas@geo.uib.no</t>
  </si>
  <si>
    <t>Leitchenkov, German/0000-0001-6316-8511</t>
  </si>
  <si>
    <t>10.1007/s11001-005-1321-4</t>
  </si>
  <si>
    <t>WOS:000232163200005</t>
  </si>
  <si>
    <t>Jokat, W</t>
  </si>
  <si>
    <t>East Antarctic tectonics and sedimentation history from 40°W to 60°E -: Preface</t>
  </si>
  <si>
    <t>MARINE GEOPHYSICAL RESEARCHES</t>
  </si>
  <si>
    <t>Fdn Alfred Wegener Inst Polar &amp; Marine Res, D-27515 Bremerhaven, Germany</t>
  </si>
  <si>
    <t>Jokat, W (corresponding author), Fdn Alfred Wegener Inst Polar &amp; Marine Res, D-27515 Bremerhaven, Germany.</t>
  </si>
  <si>
    <t>wjokat@awi-bremerhaven.de</t>
  </si>
  <si>
    <t>Jokat, Wilfried/0000-0002-7793-5854</t>
  </si>
  <si>
    <t>10.1007/s11001-005-1315-2</t>
  </si>
  <si>
    <t>WOS:000232163200001</t>
  </si>
  <si>
    <t>Heazle, M</t>
  </si>
  <si>
    <t>Scientific uncertainty and the International Whaling Commission: an alternative perspective on the use of science in policy making</t>
  </si>
  <si>
    <t>MARINE POLICY</t>
  </si>
  <si>
    <t>International Whaling Commision; scientific uncertainty; knowledge; utility; precautionary principle</t>
  </si>
  <si>
    <t>Prior to the decline of the whaling industry in the 1960s, scientific uncertainty issues often were raised in the International Whaling Commission to argue against lower Antarctic quotas. But by the 1970s, many of the same uncertainty issues were being reinterpreted by former whaling nations (and others) as good reasons for adopting a moratorium on all commercial whaling. This article argues that because science is unable to provide certainty, due to fundamental problems in its epistemology, the treatment of scientific advice by policy makers in the commission and elsewhere should be understood in relation to the utility it is believed to provide rather than simple claims of science's ability to provide truth or accuracy about the real world. (C) 2003 Elsevier Ltd. All rights reserved.</t>
  </si>
  <si>
    <t>Griffith Univ, Griffith Asia Pacific Res Inst, Nathan, Qld 4111, Australia</t>
  </si>
  <si>
    <t>Griffith University</t>
  </si>
  <si>
    <t>Griffith Univ, Griffith Asia Pacific Res Inst, Nathan, Qld 4111, Australia.</t>
  </si>
  <si>
    <t>mheazle@ozemail.com.au</t>
  </si>
  <si>
    <t>0308-597X</t>
  </si>
  <si>
    <t>1872-9460</t>
  </si>
  <si>
    <t>MAR POLICY</t>
  </si>
  <si>
    <t>Mar. Pol.</t>
  </si>
  <si>
    <t>10.1016/j.marpol.2003.10.001</t>
  </si>
  <si>
    <t>Environmental Studies; International Relations</t>
  </si>
  <si>
    <t>Environmental Sciences &amp; Ecology; International Relations</t>
  </si>
  <si>
    <t>837YD</t>
  </si>
  <si>
    <t>WOS:000222676400001</t>
  </si>
  <si>
    <t>Ultraviolet radiation damages Antarctic marine microbes</t>
  </si>
  <si>
    <t>5-6</t>
  </si>
  <si>
    <t>853HF</t>
  </si>
  <si>
    <t>WOS:000223817200008</t>
  </si>
  <si>
    <t>Michaud, L; Lo Giudice, A; Saitta, M; De Domenico, M; Bruni, V</t>
  </si>
  <si>
    <t>The biodegradation efficiency on diesel oil by two psychrotrophic Antarctic marine bacteria during a two-month-long experiment</t>
  </si>
  <si>
    <t>Antarctica; psychrotrophic bacteria; diesel oil; biodegradation; viable counts; gas-chromatography</t>
  </si>
  <si>
    <t>CRUDE-OIL; PETROLEUM-HYDROCARBONS; MICROBIAL-DEGRADATION; SEAWATER; BAY; TEMPERATURE; GROWTH; SPILL; SEA</t>
  </si>
  <si>
    <t>Two psychrotrophic bacterial strains isolated from Antarctic seawaters were investigated for their capability to degrade commercial diesel oil. The efficiency of hydrocarbon utilization was studied at 4 and 20degreesC over a period of two-months. Strains were cultured in a mineral liquid medium supplemented with diesel oil as the sole source of carbon and energy. The viable counts for the bacterial abundance estimation and the culture extractions for the subsequent gas-chromatographic analysis were carried out simultaneously. The biodegradation efficiency was higher at 20degreesC than at 4degreesC for both strains and the decrease in hydrocarbon concentrations reached more than 85% after 60 days of incubation at 20degreesC. Our results suggest the possible exploitation of these two bacterial strains in future biotechnological processes, directly as field-released micro-organisms both in cold and temperate contaminated marine environments. (C) 2004 Elsevier Ltd. All rights reserved.</t>
  </si>
  <si>
    <t>Univ Messina, Dipartimento Biol Anim &amp; Ecol Marina, I-98166 Messina, Italy; Univ Messina, Dipartimento Chim Organ &amp; Biol, I-98166 Messina, Italy</t>
  </si>
  <si>
    <t>University of Messina; University of Messina</t>
  </si>
  <si>
    <t>Univ Messina, Dipartimento Biol Anim &amp; Ecol Marina, Salita Sperone 31, I-98166 Messina, Italy.</t>
  </si>
  <si>
    <t>vivia.bruni@unime.it</t>
  </si>
  <si>
    <t>Saitta, Marcello/0000-0001-7384-9126</t>
  </si>
  <si>
    <t>10.1016/j.marpolbul.2004.02.026</t>
  </si>
  <si>
    <t>WOS:000223817200018</t>
  </si>
  <si>
    <t>Bonacci, S; Browne, MA; Dissanayake, A; Hagger, JA; Corsi, I; Focardi, S; Galloway, TS</t>
  </si>
  <si>
    <t>Esterase activities in the bivalve mollusc Adamussium colbecki as a biomarker for pollution monitoring in the Antarctic marine environment</t>
  </si>
  <si>
    <t>biomarkers; Antarctica; Adamussium colbecki; cholinesterases (ChEs); carboxylesterases (CbEs); Terra Nova Bay</t>
  </si>
  <si>
    <t>TERRA-NOVA BAY; MUSSEL MYTILUS-GALLOPROVINCIALIS; TRACE-METAL CONCENTRATIONS; ROSS SEA; RAPID ASSESSMENT; ARTHUR HARBOR; HYDROCARBON CONTAMINATION; TREMATOMUS-BERNACCHII; CARBAMATE PESTICIDES; OXIDATIVE STRESS</t>
  </si>
  <si>
    <t>Marine environments are continuously being threatened by a large number of xenobiotics from anthropogenic sources. Even in sparsely populated and relatively pristine areas, such as Antarctica, hazardous chemicals can pose a serious environmental problem. The main aims of the present study were to (1) validate and optimize an analytical technique utilizing a microtitre-plate photometer to ascertain background levels of esterase activities in the Antarctic bivalve Adamussium colbecki, (2) carry out in situ monitoring of esterase activities to assess any potential environmental impacts of the Italian Scientific Antarctic Base Terra Nova Bay on the surrounding marine area. Results showed the presence of organophosphorous-sensitive cholinesterase (ChE) and carboxylesterase (CbE) activities in the gills of A. colbecki and optimal assay conditions were comparable with those found for bivalve species from temperate areas. A higher sensitivity of ChE versus acetylthiocholine activity in A. colbecki to chlorpyrifos compared to species from temperate areas may also be inferred. The in situ study indicated no differences in the environmental quality of the three study sites located around the Italian Base. (C) 2004 Elsevier Ltd. All rights reserved.</t>
  </si>
  <si>
    <t>Univ Siena, Dept Environm Sci G Sarfatti, I-53100 Siena, Italy; Univ Plymouth, Environm Res Ctr, Plymouth PL4 8AA, Devon, England</t>
  </si>
  <si>
    <t>University of Siena; University of Plymouth</t>
  </si>
  <si>
    <t>Univ Siena, Dept Environm Sci G Sarfatti, Via PA Mattioli 4, I-53100 Siena, Italy.</t>
  </si>
  <si>
    <t>bonacci@unisi.it</t>
  </si>
  <si>
    <t>Corsi, Ilaria/D-3795-2012; Dissanayake, Awantha/G-7017-2011; Bonacci, Stefano/ABI-5676-2020; Galloway, Tamara/C-1662-2009</t>
  </si>
  <si>
    <t>Corsi, Ilaria/0000-0002-1811-3041; Galloway, Tamara/0000-0002-7466-6775; Browne, Mark Anthony/0000-0002-7508-1015; Dissanayake, Awantha/0000-0001-8758-8959</t>
  </si>
  <si>
    <t>10.1016/j.marpolbul.2004.02.033</t>
  </si>
  <si>
    <t>WOS:000223817200022</t>
  </si>
  <si>
    <t>Hurtado, LA; Lutz, RA; Vrijenhoek, RC</t>
  </si>
  <si>
    <t>Distinct patterns of genetic differentiation among annelids of eastern Pacific hydrothermal vents</t>
  </si>
  <si>
    <t>Alvinella pompejana; Branchipolynoe symmytilida; COI; hydrothermal vents; mitochondrial gene flow; phylogeography; Oasisia; Riftia; Tevnia</t>
  </si>
  <si>
    <t>DEEP-SEA VENT; STATISTICAL TESTS; POPULATION-GROWTH; RIFTIA-PACHYPTILA; LARVAL DISPERSAL; FLOW; CIRCULATION; EVOLUTION; BATHYMODIOLUS; MICROPLATE</t>
  </si>
  <si>
    <t>Population genetic and phylogenetic analyses of mitochondrial COI from five deep-sea hydrothermal vent annelids provided insights into their dispersal modes and barriers to gene flow. These polychaetes inhabit vent fields located along the East Pacific Rise (EPR) and Galapagos Rift (GAR), where hundreds to thousands of kilometers can separate island-like populations. Long-distance dispersal occurs via larval stages, but larval life histories differ among these taxa. Mitochondrial gene flow between populations of Riftia pachyptila, a siboglinid worm with neutrally buoyant lecithothrophic larvae, is diminished across the Easter Microplate region, which lies at the boundary of Indo-Pacific and Antarctic deep-sea provinces. Populations of the siboglinid Tevnia jerichonana are similarly subdivided. Oasisia alvinae is not found on the southern EPR, but northern EPR populations of this siboglinid are subdivided across the Rivera Fracture Zone. Mitochondrial gene flow of Alvinella pompejana, an alvinellid with large negatively buoyant lecithotrophic eggs and arrested embryonic development, is unimpeded across the Easter Microplate region. Gene flow in the polynoid Branchipolynoe symmytilida also is unimpeded across the Easter Microplate region. However, A. pompejana populations are subdivided across the equator, whereas B. symmitilida populations are subdivided between the EPR and GAR axes. The present findings are compared with similar evidence from codistributed species of annelids, molluscs and crustaceans to identify potential dispersal filters in these eastern Pacific ridge systems.</t>
  </si>
  <si>
    <t>Univ Arizona, Dept Ecol &amp; Evolutionary Biol, Tucson, AZ 85721 USA; Monterey Bay Aquarium Res Inst, Moss Landing, CA 95039 USA; Rutgers State Univ, Inst Marine &amp; Coastal Sci, New Brunswick, NJ 08901 USA</t>
  </si>
  <si>
    <t>University of Arizona; Monterey Bay Aquarium Research Institute; Rutgers University System; Rutgers University New Brunswick</t>
  </si>
  <si>
    <t>Univ Arizona, Dept Ecol &amp; Evolutionary Biol, Biosci W 310, Tucson, AZ 85721 USA.</t>
  </si>
  <si>
    <t>lhurtado@u.arizona.edu</t>
  </si>
  <si>
    <t>Hurtado, Luis A/B-5953-2008</t>
  </si>
  <si>
    <t>Hurtado, Luis/0000-0002-9773-4996</t>
  </si>
  <si>
    <t>1365-294X</t>
  </si>
  <si>
    <t>10.1111/j.1365-294X.2004.02287.x</t>
  </si>
  <si>
    <t>846CA</t>
  </si>
  <si>
    <t>WOS:000223291200009</t>
  </si>
  <si>
    <t>Near, TJ; Pesavento, JJ; Cheng, CHC</t>
  </si>
  <si>
    <t>Phylogenetic investigations of Antarctic notothenioid fishes (Perciformes:Notothenioidei) using complete gene sequences of the mitochondrial encoded 16S rRNA</t>
  </si>
  <si>
    <t>MOLECULAR PHYLOGENETICS AND EVOLUTION</t>
  </si>
  <si>
    <t>EVOLUTION; COMPILATION; BUOYANCY; TESTS; DNA</t>
  </si>
  <si>
    <t>The Notothenioidei dominates the fish fauna of the Antarctic in both biomass and diversity. This clade exhibits adaptations related to metabolic function and freezing avoidance in the subzero Antarctic waters, and is characterized by a high degree of morphological and ecological diversity. Investigating the macroevolutionary processes that may have contributed to the radiation of notothenioid fishes requires a well-resolved phylogenetic hypothesis. To date published molecular and morphological hypotheses of notothenioids are largely congruent, however, there are some areas of significant disagreement regarding higher-level relationships. Also, there are critical areas of the notothenioid phylogeny that are unresolved in both molecular and morphological phylogenetic analyses. Previous molecular phylogenetic analyses of notothenioids using partial mtDNA 12S and 16S rRNA sequence data have resulted in limited phylogenetic resolution and relatively low node support. One particularly controversial result from these analyses is the paraphyly of the Nototheniidae, the most diverse family in the Notothenioidei. It is unclear if the phylogenetic results from the 12S and 16S partial gene sequence dataset are due to limited character sampling, or if they reflect patterns of evolutionary diversification in notothenioids. We sequenced the complete mtDNA 16S rRNA gene for 43 notothenioid species, the largest sampling to-date from all eight taxonomically recognized families. Phylogenetic analyses using both maximum parsimony and maximum likelihood resulted in well-resolved trees with most nodes supported with high bootstrap pseudoreplicate scores and significant Bayesian posterior probabilities. In all analyses the Nototheniidae was monophyletic. Shimodaira-Hasegawa tests were able to reject two hypotheses that resulted from prior morphological analyses. However, despite substantial resolution and node support in the 16S rRNA trees, several phylogenetic hypotheses among closely related species and clades were not rejected. The inability to reject particular hypotheses among species in apical clades is likely due to the lower rate of nucleotide substitution in mtDNA rRNA genes relative to protein coding regions. Nevertheless, with the most extensive notothenioid taxon sampling to date, and the much greater phylogenetic resolution offered by the complete 16S rRNA sequences over the commonly used partial 12S and 16S gene dataset, it would be advantageous for future molecular investigations of notothenioid phylogenetics to utilize at the minimum the complete gene 16S rRNA dataset. (C) 2004 Published by Elsevier Inc.</t>
  </si>
  <si>
    <t>Univ Tennessee, Dept Ecol &amp; Evolutionary Biol, Knoxville, TN 37996 USA; Univ Illinois, Dept Anim Biol, Urbana, IL 61801 USA</t>
  </si>
  <si>
    <t>University of Tennessee System; University of Tennessee Knoxville; University of Illinois System; University of Illinois Urbana-Champaign</t>
  </si>
  <si>
    <t>Univ Tennessee, Dept Ecol &amp; Evolutionary Biol, 569 Dabney Hall, Knoxville, TN 37996 USA.</t>
  </si>
  <si>
    <t>tnear@utk.edu</t>
  </si>
  <si>
    <t>Near, Thomas J./K-1204-2012</t>
  </si>
  <si>
    <t>Near, Thomas J./0000-0002-7398-6670; Pesavento, James/0000-0001-6107-3666</t>
  </si>
  <si>
    <t>1055-7903</t>
  </si>
  <si>
    <t>1095-9513</t>
  </si>
  <si>
    <t>MOL PHYLOGENET EVOL</t>
  </si>
  <si>
    <t>Mol. Phylogenet. Evol.</t>
  </si>
  <si>
    <t>10.1016/j.ympev.2004.01.002</t>
  </si>
  <si>
    <t>846QA</t>
  </si>
  <si>
    <t>WOS:000223329500018</t>
  </si>
  <si>
    <t>Brown, KM; Fraser, KPP; Barnes, DKA; Peck, LS</t>
  </si>
  <si>
    <t>Links between the structure of an Antarctic shallow-water community and ice-scour frequency</t>
  </si>
  <si>
    <t>OECOLOGIA</t>
  </si>
  <si>
    <t>ice; age; bryozoan; disturbance; diversity</t>
  </si>
  <si>
    <t>BIVALVE YOLDIA-EIGHTSI; SIGNY ISLAND; BENTHIC COMMUNITIES; POPULATION-STRUCTURE; SPECIES-DIVERSITY; CONTINENTAL-SHELF; SEA BENTHOS; DISTURBANCE; GROWTH; IMPACT</t>
  </si>
  <si>
    <t>Ice is a major structuring force in marine and freshwater environments at high latitudes. Although recovery from scouring has been quantified in time, the frequency of scouring in the Antarctic has not. We placed grids of markers at 9-17 m depth at two sites, to study ice-scouring over 2 years at Adelaide island (Antarctic Peninsula). We quantified the time scale of scour frequencies, and linked this to community mortality, age and diversity. Markers were hit from zero to at least three times in 2 years. At the least disturbed site (South Cove) 24% of markers were destroyed per year, whereas in North Cove 60% of markers were destroyed. There were significant differences in scouring frequency between our two sites: a given area in North Cove was on average hit twice as often as one in South Cove. Compared with near shore environments elsewhere, faunas of both sites were characteristic of high disturbance regimes, exhibiting low percent cover, diversity, ages and a high proportion of pioneers. Aspects of the encrusting communities studied reflected the differences between site disturbance regimes. North Cove was scoured twice as often, and bryozoan communities there had half the number of species, two-thirds the space occupation and twice the mortality level of those in South Cove. Maximum age in North Cove bryozoans was also half that in South Cove. Although there are natural disturbance events that rival ice-scouring in either frequency or catastrophic power at lower latitudes, none do both nor across such a wide depth range. We suggest that ice scour effects on polar benthos are even more significant than the same magnitude of disturbance at lower latitudes as recovery rates of high latitude communities are very slow. Climate warming seems likely to increase iceloading of near shore polar waters, so that some of the world's most intensely disturbed faunas may soon suffer even more disturbance.</t>
  </si>
  <si>
    <t>British Antarctic Survey, NERC, Div Biol Sci, Cambridge CB3 0ET, England</t>
  </si>
  <si>
    <t>British Antarctic Survey, NERC, Div Biol Sci, High Cross,Madingley Rd, Cambridge CB3 0ET, England.</t>
  </si>
  <si>
    <t>kppf@bas.ac.uk</t>
  </si>
  <si>
    <t>Fraser, Keiron/0000-0001-5491-8376</t>
  </si>
  <si>
    <t>0029-8549</t>
  </si>
  <si>
    <t>1432-1939</t>
  </si>
  <si>
    <t>Oecologia</t>
  </si>
  <si>
    <t>10.1007/s00442-004-1648-6</t>
  </si>
  <si>
    <t>849SC</t>
  </si>
  <si>
    <t>WOS:000223560000014</t>
  </si>
  <si>
    <t>Varpe, O; Tveraa, T; Folstad, I</t>
  </si>
  <si>
    <t>State-dependent parental care in the Antarctic petrel: responses to manipulated chick age during early chick rearing</t>
  </si>
  <si>
    <t>OIKOS</t>
  </si>
  <si>
    <t>LEACHS STORM-PETRELS; LONG-LIVED SEABIRD; THALASSOICA-ANTARCTICA; BODY CONDITION; FOOD DELIVERY; CALONECTRIS-DIOMEDEA; REPRODUCTION; COST; INCUBATION; DECISIONS</t>
  </si>
  <si>
    <t>Life histories are state-dependent, and an individual's reproductive decisions are determined by its available resources and the needs of its offspring. Here we test how a chick's needs for food and protection influence parental decisions in the Antarctic petrel, Thalassoica antarctica, where the parents, due to their long breeding lifespan, are expected to give priority to their own needs before those of the young. We exchanged one-day-old chicks with four-day-old chicks and studied how the parents subsequently provided care to the chick. The duration of the guarding period was adjusted, and parents left older chicks earlier and younger chicks later compared to controls. Three mechanisms were responsible for the adjustments. 1) Parents with an older chick co-ordinated fewer guarding spells whereas parents with a younger chick co-ordinated more guarding spells. 2) At the last guarding spell, i.e. where a parent left the chick alone before the partner returned, less time was spent with older chicks, and more time with younger chicks. 3) Foraging trip duration was shortened by parents given older chicks and prolonged by parents given younger chicks, probably in response to the chick's food demand. Hence, the parents responded quickly to the altered needs of the chick. Parents with high body mass guarded longer and were better able to co-ordinate the guarding spells compared to lighter parents. In conclusion, Antarctic petrels adjust reproductive decisions to their own, their mate's, and their chick's state, and they seem to respond to the chick's needs for both food and protection.</t>
  </si>
  <si>
    <t>Norwegian Inst Nat Res, Dept Arctic Ecol, Polar Environm Ctr, NO-9296 Tromso, Norway; Univ Tromso, Dept Biol, NO-9037 Tromso, Norway</t>
  </si>
  <si>
    <t>Norwegian Institute Nature Research; UiT The Arctic University of Tromso</t>
  </si>
  <si>
    <t>Univ Bergen, Dept Biol, POB 7800, NO-5020 Bergen, Norway.</t>
  </si>
  <si>
    <t>oystein.varpe@bio.uib.no</t>
  </si>
  <si>
    <t>Varpe, Øystein/B-9693-2008</t>
  </si>
  <si>
    <t>Varpe, Øystein/0000-0002-5895-6983</t>
  </si>
  <si>
    <t>0030-1299</t>
  </si>
  <si>
    <t>1600-0706</t>
  </si>
  <si>
    <t>Oikos</t>
  </si>
  <si>
    <t>10.1111/j.0030-1299.2004.13212.x</t>
  </si>
  <si>
    <t>838OH</t>
  </si>
  <si>
    <t>WOS:000222722200006</t>
  </si>
  <si>
    <t>Witkowski, A; Lange-Bertalot, H; Kociolek, JP; Ruppel, M; Wawrzyniak-Wydrowska, B; Bak, M; Brzezinska, A</t>
  </si>
  <si>
    <t>Four new species of Nitzschia sect. Tryblionella (Bacillariophyceae) resembling N-parvula</t>
  </si>
  <si>
    <t>DIATOM GENERA GYROSIGMA; NOV BACILLARIOPHYCEAE; MORPHOLOGY; MARINE; TAXONOMY; WATER; SEA; BIOGEOGRAPHY; HYPOTHESIS; DISPERSAL</t>
  </si>
  <si>
    <t>In the course of research on the diatoms from surface sediments sampled in the marine littoral and sublittoral worldwide, and in some freshwater localities in central Europe, several problematic taxa were encountered resembling Nitzschia parvula. We therefore undertook a light and scanning electron microscopical study of five species of Nitzschia belonging to the section Tryblionella. After a period of misidentification, one of the taxa studied, N. parvula, is now known front the type preparation. The remaining taxa are either new to science or have previously lacked formal descriptions. The first of them is found in freshwater habitats and is described here as N. beyeri Lange-Bertalot, whereas the second, from the tropical marine littoral, is described as N. schweikertii Witkowski, Lange-Bertalot, Ruppel &amp; Kociolek. The third species is known in the literature by the manuscript name 'Nitzschia subconstricta Grunow'. However, this name was not validly published and subconstricta has recently been used for another species, described by Desikachary &amp; Prema (1987). Grunow's species is validly described here as N. ligowskii Witkowski, Lange-Bertalot, Kociolek &amp; Brzezinska. It inhabits the marine littoral and is characterized by a very wide geographical distribution. The fourth new taxon, described here as N. buschbeckii Witkowski, Lange-Bertalot &amp; Ruppel is known so far only from the Antarctic.</t>
  </si>
  <si>
    <t>Univ Szczecin, Inst Marine Sci, PL-71415 Szczecin, Poland; Univ Frankfurt, Inst Bot, D-60054 Frankfurt, Germany; Calif Acad Sci, Diatom Collect, San Francisco, CA 94118 USA</t>
  </si>
  <si>
    <t>University of Szczecin; Goethe University Frankfurt; California Academy of Sciences</t>
  </si>
  <si>
    <t>Witkowski, A (corresponding author), Univ Szczecin, Inst Marine Sci, Waska 13, PL-71415 Szczecin, Poland.</t>
  </si>
  <si>
    <t>witkowsk@univ.szczecin.pl</t>
  </si>
  <si>
    <t>Witkowski, Andrzej/0000-0003-1714-218X; Bak, Malgorzata/0000-0001-6465-5047</t>
  </si>
  <si>
    <t>INT PHYCOLOGICAL SOC</t>
  </si>
  <si>
    <t>NEW BUSINESS OFFICE, PO BOX 1897, LAWRENCE, KS 66044-8897 USA</t>
  </si>
  <si>
    <t>10.2216/i0031-8884-43-5-579.1</t>
  </si>
  <si>
    <t>860UK</t>
  </si>
  <si>
    <t>WOS:000224368700008</t>
  </si>
  <si>
    <t>Tullett, AG; Hart, AJ; Worland, MR; Bale, JS</t>
  </si>
  <si>
    <t>Assessing the effects of low temperature on the establishment potential in Britain of the non-native biological control agent Eretmocerus eremicus</t>
  </si>
  <si>
    <t>PHYSIOLOGICAL ENTOMOLOGY</t>
  </si>
  <si>
    <t>biological control; cold tolerance; development; establishment; Eretmocerus eremicus; non-native; overwintering; temperature; Trialeurodes vaporariorum</t>
  </si>
  <si>
    <t>BEMISIA-ARGENTIFOLII HOMOPTERA; INUNDATIVE RELEASES; APHELINIDAE; HYMENOPTERA; ALEYRODIDAE; POINSETTIA; HEMIPTERA; COTTON</t>
  </si>
  <si>
    <t>Eretmocerus eremicus is a parasitoid wasp that is not native to Britain. It is a biological control agent of glasshouse whitefly and has recently been released under licence in Britain for the first time. This study assessed the effect of low temperature on the outdoor establishment potential of E. eremicus in Britain. The developmental threshold calculated by three linear methods was between 6.1degrees and 11.6 degreesC, with a degree-day requirement per generation between 256.3 and 366.8degrees day(-1). The supercooling points of non-acclimated and acclimated larvae were similar (approximately -25 degreesC). Non-acclimated and acclimated larvae were subject to considerable pre-freeze mortality, with lethal temperature (LTemp(50)) values of -16.3 and -21.3 degreesC, respectively. Lethal time experiments indicated a similar lack of cold tolerance with 50% mortality of both non-acclimated and acclimated larvae after 7 days at -5 degreesC, 10 days at 0 degreesC and 13 days at 5 degreesC. Field trials showed that neither non-acclimated nor acclimated larvae survived longer than 1 month when exposed to naturally fluctuating winter temperatures. These results suggest that releasing E. eremicus into British greenhouses would pose minimal risk because typical British winter temperatures would be an effective barrier against establishment in the wild.</t>
  </si>
  <si>
    <t>Univ Birmingham, Sch Biosci, Birmingham B15 2TT, W Midlands, England; British Antarctic Survey, Cambridge CB3 0ET, England</t>
  </si>
  <si>
    <t>Univ Birmingham, Sch Biosci, Birmingham B15 2TT, W Midlands, England.</t>
  </si>
  <si>
    <t>j.s.bale@bham.ac.uk</t>
  </si>
  <si>
    <t>0307-6962</t>
  </si>
  <si>
    <t>1365-3032</t>
  </si>
  <si>
    <t>PHYSIOL ENTOMOL</t>
  </si>
  <si>
    <t>Physiol. Entomol.</t>
  </si>
  <si>
    <t>10.1111/j.0307-6962.2004.00398.x</t>
  </si>
  <si>
    <t>847CG</t>
  </si>
  <si>
    <t>WOS:000223365800008</t>
  </si>
  <si>
    <t>Powell, SM; Bowman, JP; Snape, I</t>
  </si>
  <si>
    <t>Degradation of nonane by bacteria from Antarctic marine sediment</t>
  </si>
  <si>
    <t>GEN. NOV.</t>
  </si>
  <si>
    <t>A microbial enrichment culture tolerant of petroleum hydrocarbons was developed from sediment collected near Casey Station, Antarctica. To select cold-adapted microbes that would degrade diesel, enrichments were cultured at 0degreesC during six successive transfers to fresh medium, with Special Antarctic Blend diesel (SAB) as the sole carbon source. Biodegradation of components of the SAB was then measured in microcosms inoculated with the enrichment culture. After 16 weeks, the amount of biodegradation was small, but nonane (a C9 alkane) had degraded significantly more in inoculated microcosms than in sterile controls. DNA was then extracted from the enrichment cultures and a fragment of the 16S rRNA gene was amplified for denaturing gradient gel electrophoresis. Bands were excised from the gel and, following sequencing, were found to belong to the genera Pseudomonas and Colwellia.</t>
  </si>
  <si>
    <t>Univ Tasmania, Sch Agr Sci, Hobart, Tas 7001, Australia; Dept Environm &amp; Heritage, Australian Antarctic Div, Kingston, Tas, Australia</t>
  </si>
  <si>
    <t>Univ Tasmania, Sch Agr Sci, Private Bag 54, Hobart, Tas 7001, Australia.</t>
  </si>
  <si>
    <t>shanep@utas.edu.au</t>
  </si>
  <si>
    <t>Bowman, John P/C-2414-2014; Powell, Shane M/C-2391-2014; Bowman, John P./ABF-5108-2020</t>
  </si>
  <si>
    <t>Bowman, John P/0000-0002-4528-9333; Bowman, John P./0000-0002-4528-9333; Powell, Shane/0000-0001-5082-1630</t>
  </si>
  <si>
    <t>10.1007/s00300-004-0639-8</t>
  </si>
  <si>
    <t>849SI</t>
  </si>
  <si>
    <t>WOS:000223560600001</t>
  </si>
  <si>
    <t>Grove, TJ; Hendrickson, JW; Sidell, BD</t>
  </si>
  <si>
    <t>Two species of antarctic icefishes (genus Champsocephalus) share a common genetic lesion leading to the loss of myoglobin expression</t>
  </si>
  <si>
    <t>NOTOTHENIOIDEI</t>
  </si>
  <si>
    <t>Species of the suborder Notothenioidei dominate the fish fauna of coastal Antarctic waters. Members of one notothenioid family, Channichthyidae (Antarctic icefishes), are unique among all vertebrates in lacking the circulating oxygen-binding protein hemoglobin. Icefish species also do not uniformly express the intracellular oxygen-binding protein myoglobin (Mb) in their oxidative muscles. Our laboratory previously characterized the pattern of cardiac Mb expression in 13 of the 16 known icefish species. In this paper, we complete the survey of cardiac Mb expression among all 16 known species of icefishes. Using PAGE and immunoblot analyses, we demonstrate that both Channichthys rhinoceratus and Cryodraco atkinsoni express Mb in heart ventricle, while Champsocephalus esox does not express the protein. We report Mb gene sequences from Channichthys rhinoceratus and Champsocephalus esox genomic DNA. The Mb gene of C. esox contains the identical 5-bp duplication/insertion to that observed in congeneric Champsocephalus gunnari, a species that also does not produce Mb. This duplication in exon 2 of the Champsocephalus spp. gene causes a shift in reading frame at a position normally encoding for amino acid 91 and also results in a premature stop codon, thus disrupting translation of the normal protein. Thus, 6 of the 16 known icefish species do not express cardiac Mb. These results confirm earlier conclusions that losses of Mb expression have occurred via at least four independent events during the evolution of the icefish family. Extreme similarity of Mb genes in Champsocephalus congeners further suggests recent speciation despite early divergence of this group from the lineage leading to more derived icefishes.</t>
  </si>
  <si>
    <t>Univ Maine, Sch Marine Sci, 5751 Murray Hall, Orono, ME 04469 USA.</t>
  </si>
  <si>
    <t>BSidell@maine.edu</t>
  </si>
  <si>
    <t>10.1007/s00300-004-0634-0</t>
  </si>
  <si>
    <t>WOS:000223560600002</t>
  </si>
  <si>
    <t>Meloni, S; Mazzini, M; Fausto, AM; Macchioni, R; Taddei, AR; Buonocore, F; Fiani, M; Baldacci, A; Scapigliati, G</t>
  </si>
  <si>
    <t>Egg envelope organisation in the icefish Chionodraco hamatus</t>
  </si>
  <si>
    <t>ANTARCTIC FISH EGGS; LABRAX L TELEOSTEA; SPATIAL-DISTRIBUTION; MONOCLONAL-ANTIBODY; SURFACE-STRUCTURE; RAINBOW-TROUT; SEA; PROTEINS; CHORION; IDENTIFICATION</t>
  </si>
  <si>
    <t>Antarctic teleosts perform their physiological activities at constant subzero temperatures. We previously described the gross morphology and the biochemical composition of the Antarctic teleost Chionodraco hamatus eggshell. In this work, we investigate thoroughly the chorion ultrastructure, showing a previously unknown external layer, and describe the preparation and use of monoclonal antibodies against eggshell proteins of this species. The main chorion polypeptide at 46 kDa was purified by preparative electrophoresis and used as immunogen in mice. After spleen-myeloma fusion, hybdridomas were screened by immunoblotting against eggshell homogenates, and two of the most interesting hybridomas were cloned by limiting dilution, and established in culture: CHE-1 (IgG) and CHE-5 (IgM). They stained intensely the eggshell in indirect immunofluorescence and in immunoelectron microscopy. The CHE-5 localisation on thin sections by immunogold staining was peculiar for the various vitelline envelope layers. By western blot analysis of eggshell, CHE-1 recognised two polypeptides at 46 kDa and 92 kDa, whereas CHE-5 recognised a single polypeptide at 92 kDa.</t>
  </si>
  <si>
    <t>Univ Tuscia, Dipartimento Sci Ambientali, I-01100 Viterbo, Italy; Univ Tuscia, Ctr Interdipartimentale Microscopia Elett, I-01100 Viterbo, Italy; Ist Super Sanita, I-00100 Rome, Italy</t>
  </si>
  <si>
    <t>Tuscia University; Tuscia University; Istituto Superiore di Sanita (ISS)</t>
  </si>
  <si>
    <t>Univ Tuscia, Dipartimento Sci Ambientali, Largo Univ, I-01100 Viterbo, Italy.</t>
  </si>
  <si>
    <t>scapigg@unitus.it</t>
  </si>
  <si>
    <t>Buonocore, Francesco/AAA-5236-2020; Fausto, Anna Maria/AAB-6778-2020; Fiani, Maria Luisa/G-9369-2016</t>
  </si>
  <si>
    <t>Fiani, Maria Luisa/0000-0003-2997-0767; Buonocore, Francesco/0000-0001-8045-5651; FAUSTO, Anna Maria/0000-0001-5800-7473</t>
  </si>
  <si>
    <t>10.1007/s00300-004-0631-3</t>
  </si>
  <si>
    <t>WOS:000223560600003</t>
  </si>
  <si>
    <t>van den Hoff, J</t>
  </si>
  <si>
    <t>A comparative study of the cephalopod prey of Patagonian toothfish (Dissostichus eleginoides) and southern elephant seals (Mirounga leonina) near Macquarie Island</t>
  </si>
  <si>
    <t>MARTIALIA-HYADESI CEPHALOPODA; SQUID GALITEUTHIS-GLACIALIS; DIET; GROWTH; OMMASTREPHIDAE; SEGREGATION; INFORMATION; FISHERY; GONATUS; OCEAN</t>
  </si>
  <si>
    <t>Within the Southern Ocean, Patagonian toothfish (Dissostichus eleginoides Smitt) and southern elephant seals (Mirounga leonina Linnaeus) forage mainly on fish and cephalopods. From what is known of their diets, the proportion of fish is greatest in toothfish diet. When foraging at-sea for squid, elephant seals and toothfish most often co-occur over continental shelves and submarine plateaux surrounding sub-Antarctic land masses within the Southern Ocean. I used traditional (non-molecular) techniques to compare the squid diet of these two predators. Of the 21 squid species identified, 10 were common to the diets of both predators. One species, Gonatus antarcticus, dominated (61%) the biomass of squid consumed by toothfish, but was of little importance to the elephant seals (2.3%). By contrast, Martialia hyadesi was the most important single species to the elephant seals' diet (29%), but it contributed 1% to the toothfish diet. Onychoteuthids (Kondakovia longimana, Moroteuthis ingens and Morotenthis knipovitchi) were important to both predators' diets. The median sizes of five cephalopod species (Slosarczykovia circumantarctica, Galiteuthis glacialis, Gonatus antarcticus, Moroteuthis ingens and Moroteuthis knipovitchi) which were common to both the seal and toothfish diets, were significantly larger in the toothfish stomachs than in the elephant-seal stomachs. Percent similarity indices for the squids that overlapped both diets were in some cases as high as 100%. However, after between-species differences in prey size consumption were accounted for, the similarities fell to between 20 and 50%. These results indicate that the strength of the trophic interaction between the seals and the fish might be weaker than previously thought. The consumption of significantly different-sized squid can also be used to suggest spatial (vertical) foraging separation of these two predators because there is evidence for ontogenetic change in the size of squid species with depth; older, and thus larger, squids live deeper than smaller individuals of the same species.</t>
  </si>
  <si>
    <t>van den Hoff, J (corresponding author), Australian Antarctic Div, Channel Highway, Kingston, Tas 7050, Australia.</t>
  </si>
  <si>
    <t>john_van@aad.gov.au</t>
  </si>
  <si>
    <t>10.1007/s00300-004-0628-y</t>
  </si>
  <si>
    <t>WOS:000223560600005</t>
  </si>
  <si>
    <t>Büsser, C; Kahles, A; Quillfeldt, P</t>
  </si>
  <si>
    <t>Breeding success and chick provisioning in Wilson's storm-petrels Oceanites oceanicus over seven years:: frequent failures due to food shortage and entombment</t>
  </si>
  <si>
    <t>KRILL EUPHAUSIA-SUPERBA; KING-GEORGE-ISLAND; ANTARCTIC KRILL; POPULATION-DYNAMICS; MARINE ECOSYSTEM; FUR SEALS; VARIABILITY; SEABIRD; DIET</t>
  </si>
  <si>
    <t>We examined the natural variation in parameters of the breeding success of Wilson's storm-petrels on King George Island, South Shetland Islands, during seven breeding seasons, and determined the relative influence of krill abundance and climatic conditions. Feeding frequencies, feeding rates and meal sizes varied between years, and feeding rates were correlated with data of the Antarctic krill Euphausia superba abundance in the Elephant Island region. The overall breeding success of breeding pairs was low, ranging from 0 to 34%. Snow storms and wind conditions depressed breeding success even in years of good food availability, and snow storms were the most important determinant of the breeding success over the seven seasons. Snow storms during the breeding season occurred during periods of prevailing easterly winds. In addition, the distribution of wind directions was found to strongly influence the krill availability to storm-petrels.</t>
  </si>
  <si>
    <t>Cardiff Univ, Sch Biosci, Cardiff CF10 3TL, S Glam, Wales; Univ Jena, Inst Okol, Polar &amp; Bird Ecol Grp, D-07743 Jena, Germany</t>
  </si>
  <si>
    <t>Cardiff University; Friedrich Schiller University of Jena</t>
  </si>
  <si>
    <t>Quillfeldt, P (corresponding author), Cardiff Univ, Sch Biosci, Main Bldg,Museum Ave,POB 915, Cardiff CF10 3TL, S Glam, Wales.</t>
  </si>
  <si>
    <t>QuillfeldtP@cardiff.ac.uk</t>
  </si>
  <si>
    <t>Quillfeldt, Petra/A-9549-2009</t>
  </si>
  <si>
    <t>Quillfeldt, Petra/0000-0002-4450-8688</t>
  </si>
  <si>
    <t>10.1007/s00300-004-0627-z</t>
  </si>
  <si>
    <t>WOS:000223560600006</t>
  </si>
  <si>
    <t>Mataloni, G; Komárek, J</t>
  </si>
  <si>
    <t>Gloeocapsopsis aurea, a new subaerophytic cyanobacterium from maritime Antarctica</t>
  </si>
  <si>
    <t>HOPE BAY; EPILITHIC ALGAE; CIERVA POINT</t>
  </si>
  <si>
    <t>The cyanobacterial flora of maritime Antarctica appears to contain many endemic species and only few cosmopolitan or wider-distributed taxa. Several morphospecies that have been erroneously identified in the past following available keys from temperate or tropical zones belong in fact to little-known and poorly described Antarctic cyanobacteria. Here we describe the taxonomy of one such example, the colonial species Gloeocapsopsis aurea . This cyanobacterium produces irregular, packet-like colonies that form black mats, films and crusts. Based on analysis of algal samples from Punta Cierva (Antarctic Peninsula) and King George Island (South Shetland Islands), this taxon is widely distributed in coastal, deglaciated areas of the maritime Antarctic. It is an important, often dominating, ecotype, mostly colonising irrigated rocks but also found in a variety of other aquatic and semi-aquatic habitats under a wide range of conductivities, pH and nutrient regimes.</t>
  </si>
  <si>
    <t>Univ Buenos Aires, Fac Ciencias Exactas &amp; Nat, Lab Limnol, Buenos Aires, DF, Argentina; Univ S Bohemia, Inst Botany AS CR, Trebon 37901, Czech Republic; Univ S Bohemia, Fac Biol Sci, Trebon 37901, Czech Republic</t>
  </si>
  <si>
    <t>University of Buenos Aires; University of South Bohemia Ceske Budejovice; University of South Bohemia Ceske Budejovice</t>
  </si>
  <si>
    <t>Mataloni, G (corresponding author), Univ Buenos Aires, Fac Ciencias Exactas &amp; Nat, Lab Limnol, Pab 2,Ciudad Univ,C1428 EHA, Buenos Aires, DF, Argentina.</t>
  </si>
  <si>
    <t>gm@bg.fcen.uba.ar; komarek@butbn.cas.cz</t>
  </si>
  <si>
    <t>Komarek, Jiri/H-1597-2014</t>
  </si>
  <si>
    <t>Mataloni, Gabriela/0000-0002-6852-6143</t>
  </si>
  <si>
    <t>10.1007/s00300-004-0620-6</t>
  </si>
  <si>
    <t>WOS:000223560600007</t>
  </si>
  <si>
    <t>Nondula, N; Marshall, DJ; Baxter, R; Sinclair, BJ; Chown, SL</t>
  </si>
  <si>
    <t>Life history and osmoregulatory ability of Telmatogeton amphibius (Diptera, Chironomidae) at Marion Island</t>
  </si>
  <si>
    <t>PRINCE EDWARD ISLANDS; ANTARCTIC SOUTH GEORGIA; MIDALTITUDE FELLFIELD; KELP DEGRADATION; OCEAN ISLANDS; COLEOPTERA; CURCULIONIDAE; ARTHROPODS; ECOLOGY; LARVAE</t>
  </si>
  <si>
    <t>Although the non-crustacean arthropod fauna of the intertidal zone in the sub-Antarctic is both diverse and abundant, little is known about the biology of the species that occur in this habitat. Here, we provide information on the biology and osmoregulatory ability of the marine intertidal midge Telmatogeton amphibius (Eaton) (Diptera, Chironomidae) at Marion Island. Larval densities of this species in the lower shore zones can be as high as 16,000 individuals m(-2) in their preferred habitat during peak abundance in summer. Winter abundances are substantially lower, and adults are much less abundant than larvae. Like other chironomids, this species has four larval instars and the flightless adult females have obligatory parthenogenesis. It is a strong osmoregulator. Larvae show little variation in body mass irrespective of whether they find themselves in freshwater or seawater, or are switched between the media. Haemolymph osmolality [ca. 400 milliosmol (mOsm)] varies by only 61 mOsm over a 1,520 mOsm range of the external medium. T. amphibius is similar in many respects to intertidal telmatogetonine midges found in other geographic regions.</t>
  </si>
  <si>
    <t>Univ Stellenbosch, Spatial Physiol &amp; Conservat Ecol Grp, Dept Zool, ZA-7602 Matieland, South Africa; Univ Ft Hare, Dept Zool, Alice Springs, NT 5700, Australia; Univ Brunei Darussalam, Gadong, Brunei</t>
  </si>
  <si>
    <t>Stellenbosch University; University Brunei Darussalam</t>
  </si>
  <si>
    <t>Univ Stellenbosch, Spatial Physiol &amp; Conservat Ecol Grp, Dept Zool, Private Bag X1, ZA-7602 Matieland, South Africa.</t>
  </si>
  <si>
    <t>Chown, Steven L/H-3347-2011; Sinclair, Brent J/C-6133-2012; Chown, Steven/ABD-7646-2021; Marshall, Dustin/C-3450-2016</t>
  </si>
  <si>
    <t>Marshall, David/0000-0003-3771-5950; Sinclair, Brent/0000-0002-8191-9910</t>
  </si>
  <si>
    <t>10.1007/s00300-004-0619-z</t>
  </si>
  <si>
    <t>WOS:000223560600008</t>
  </si>
  <si>
    <t>Kanamori, H</t>
  </si>
  <si>
    <t>The diversity of the physics of earthquakes</t>
  </si>
  <si>
    <t>PROCEEDINGS OF THE JAPAN ACADEMY SERIES B-PHYSICAL AND BIOLOGICAL SCIENCES</t>
  </si>
  <si>
    <t>quantification of earthquakes; energy budget of earthquakes; radiation efficiency; rupture speed; earthquake rupture pattern; earthquake early warning</t>
  </si>
  <si>
    <t>ANTARCTIC PLATE EARTHQUAKE; MOUNT ST-HELENS; DENALI FAULT EARTHQUAKE; MANTLE RAYLEIGH-WAVES; PORE-FLUID PRESSURE; SUBDUCTION-ZONE; ENERGY-RELEASE; DOUBLE-COUPLE; MARCH 25; TSUNAMI EARTHQUAKES</t>
  </si>
  <si>
    <t>Earthquakes exhibit diverse characteristics. Most shallow earthquakes are brittle in the sense that they excite seismic waves efficiently. However, some earthquakes are slow, as characterized by tsunami earthquakes and even slower events without any obvious seismic radiation. Also, some earthquakes, like the 1994 Bolivian deep earthquake, involved a large amount of fracture and thermal energy and may be more appropriately called a thermal event, rather than an earthquake. Some earthquakes are caused by processes other than faulting, such as landslides. This diversity can be best understood in terms of the difference in the partition of the released potential energy to radiated, fracture, and thermal energies during an earthquake. This approach requires detailed studies on quantification of earthquakes and estimation of various kinds of energies involved in earthquake processes. This paper reviews the progress in this field from historical and personal points of view and discusses its implications for earthquake damage mitigation.</t>
  </si>
  <si>
    <t>CALTECH, Seismol Lab, Pasadena, CA 91125 USA</t>
  </si>
  <si>
    <t>California Institute of Technology</t>
  </si>
  <si>
    <t>CALTECH, Seismol Lab, Pasadena, CA 91125 USA.</t>
  </si>
  <si>
    <t>JAPAN ACAD</t>
  </si>
  <si>
    <t>7-32, UENO PARK, TAITO-KU, TOKYO, 110-0007, JAPAN</t>
  </si>
  <si>
    <t>0386-2208</t>
  </si>
  <si>
    <t>1349-2896</t>
  </si>
  <si>
    <t>P JPN ACAD B-PHYS</t>
  </si>
  <si>
    <t>Proc. Jpn. Acad. Ser. B-Phys. Biol. Sci.</t>
  </si>
  <si>
    <t>10.2183/pjab.80.297</t>
  </si>
  <si>
    <t>863CB</t>
  </si>
  <si>
    <t>WOS:000224536700001</t>
  </si>
  <si>
    <t>Liu, XD; Sun, LG; Yin, XB; Zhu, RB</t>
  </si>
  <si>
    <t>Paleoecological implications of the nitrogen isotope signatures in the sediments amended by Antarctic seal excrements</t>
  </si>
  <si>
    <t>PROGRESS IN NATURAL SCIENCE-MATERIALS INTERNATIONAL</t>
  </si>
  <si>
    <t>nitrogen isotope; paleoecology; seal excrement; sediment sequence; Antarctica</t>
  </si>
  <si>
    <t>ANIMAL-DERIVED NITROGEN; N-15 NATURAL-ABUNDANCE; DRONNING MAUD LAND; ORGANIC-MATTER; STABLE-ISOTOPES; PENGUIN ROOKERY; FOOD WEB; POPULATIONS; OCEAN; DIET</t>
  </si>
  <si>
    <t>The nitrogen isotope signatures in the sediments amended by seal excrements, from Fildes Peninsula of King George Islands, Antarctica, were examined for their paleoecological application potential. The contents of total organic carbon (TOC) and total nitrogen (TN) and the atomic C/N ratios in the sediments show that the organic carbon and nitrogen are predominantly of marine origin and derived from seal excrements. The remarkably high delta(15)N values in the sediments may be related to at least two important factors of trophic enrichment and NH3 volatilization, which requires further studies. The large variations in the seal hair abundances and the determined delta(15)N values in the sediments signify similar changes of the historical seal populations around the study site. A significant negative correlation between the delta(15)N values and seal hair abundance was observed, and this suggests that the delta(15)N values, like the number of seal hairs, can be used as a paleoecological proxy for the historical seal populations. The time-integrated delta(15)N signatures in the sediments with predominantly animal-derived nitrogen source thus provide a new tool for estimating historical populations of seals and penguins and interpreting the underlying paleoecological processes.</t>
  </si>
  <si>
    <t>Sun, LG (corresponding author), Univ Sci &amp; Technol China, Inst Polar Environm, Hefei 230026, Peoples R China.</t>
  </si>
  <si>
    <t>1002-0071</t>
  </si>
  <si>
    <t>1745-5391</t>
  </si>
  <si>
    <t>PROG NAT SCI-MATER</t>
  </si>
  <si>
    <t>Prog. Nat. Sci.</t>
  </si>
  <si>
    <t>10.1080/10020070412331344331</t>
  </si>
  <si>
    <t>Materials Science, Multidisciplinary; Multidisciplinary Sciences</t>
  </si>
  <si>
    <t>Materials Science; Science &amp; Technology - Other Topics</t>
  </si>
  <si>
    <t>865FP</t>
  </si>
  <si>
    <t>WOS:000224688200008</t>
  </si>
  <si>
    <t>Olaso, I; Lombarte, A; Velasco, F</t>
  </si>
  <si>
    <t>Daily ration of Antarctic silverfish (Pleuragramma antarcticum Boulenger, 1902) in the eastern Weddell Sea</t>
  </si>
  <si>
    <t>SCIENTIA MARINA</t>
  </si>
  <si>
    <t>daily ration; evacuation rate; Antarctic; pelagic fish; temperature</t>
  </si>
  <si>
    <t>METABOLIC COLD ADAPTATION; PLEURONECTES-PLATESSA L; COD BOREOGADUS-SAIDA; GASTRIC EVACUATION; FOOD-CONSUMPTION; GADUS-MORHUA; STOMACH CONTENTS; ATLANTIC COD; POLAR FISH; TEMPERATURE</t>
  </si>
  <si>
    <t>The daily ration of Pleuragramma antarcticum in the Eastern Weddell Sea was investigated from midwater and bottom trawl samples collected in the Antarctic in the summer of 1998. Using a gastric evacuation model that takes into account Weddell Sea temperature below zero and information on the prey type daily ration estimates were: 1.133% BW for immature fish of 10-16 cm and 0.484% BW for mature fish of 17-24 cm. The low daily ration intake was influenced by the low temperatures that limited the rate of gastric evacuation. This model seems more realistic than results from the classic Elliot &amp; Persson and Eggers models that are also used in this paper, since their assumptions on feeding regularity are more rigid and they do not consider data of energy density of the prey.</t>
  </si>
  <si>
    <t>Inst Espanol Oceanog, Santander 39080, Spain; CSIC, CMIMA, Inst Ciencias Mar, Catalonia 08039, Spain</t>
  </si>
  <si>
    <t>Spanish Institute of Oceanography; Consejo Superior de Investigaciones Cientificas (CSIC)</t>
  </si>
  <si>
    <t>Olaso, I (corresponding author), Inst Espanol Oceanog, POB 240, Santander 39080, Spain.</t>
  </si>
  <si>
    <t>iolaso@st.ieo.es</t>
  </si>
  <si>
    <t>Lombarte, Antoni/D-3142-2013; Velasco, Francisco/S-3229-2016</t>
  </si>
  <si>
    <t>Velasco, Francisco/0000-0002-6420-9474; Lombarte, Antoni/0000-0001-5215-4587</t>
  </si>
  <si>
    <t>INST CIENCIAS MAR BARCELONA</t>
  </si>
  <si>
    <t>BARCELONA</t>
  </si>
  <si>
    <t>PG MARITIM DE LA BARCELONETA, 37-49, 08003 BARCELONA, SPAIN</t>
  </si>
  <si>
    <t>0214-8358</t>
  </si>
  <si>
    <t>1886-8134</t>
  </si>
  <si>
    <t>SCI MAR</t>
  </si>
  <si>
    <t>Sci. Mar.</t>
  </si>
  <si>
    <t>10.3989/scimar.2004.68n3419</t>
  </si>
  <si>
    <t>858IR</t>
  </si>
  <si>
    <t>WOS:000224186000010</t>
  </si>
  <si>
    <t>Caccia, M</t>
  </si>
  <si>
    <t>The sea-surface autonomous modular unit project - Antarctic exploitation of an autonomous catamaran for the study of the sea-air interface</t>
  </si>
  <si>
    <t>SEA TECHNOLOGY</t>
  </si>
  <si>
    <t>CNR, Ist Studi Sistemi Intelligent Automazione, Genoa, Italy</t>
  </si>
  <si>
    <t>Consiglio Nazionale delle Ricerche (CNR); Istituto di Studi sui Sistemi Intelligenti per l'Automazione (ISSIA-CNR)</t>
  </si>
  <si>
    <t>Caccia, M (corresponding author), CNR, Ist Studi Sistemi Intelligent Automazione, Genoa, Italy.</t>
  </si>
  <si>
    <t>Caccia, Massimo/P-6407-2018</t>
  </si>
  <si>
    <t>Caccia, Massimo/0000-0002-4482-4541</t>
  </si>
  <si>
    <t>COMPASS PUBLICATIONS, INC</t>
  </si>
  <si>
    <t>ARLINGTON</t>
  </si>
  <si>
    <t>1501 WILSON BLVD., STE 1001, ARLINGTON, VA 22209-2403 USA</t>
  </si>
  <si>
    <t>0093-3651</t>
  </si>
  <si>
    <t>SEA TECHNOL</t>
  </si>
  <si>
    <t>Sea Technol.</t>
  </si>
  <si>
    <t>Engineering, Ocean</t>
  </si>
  <si>
    <t>856NA</t>
  </si>
  <si>
    <t>WOS:000224050700009</t>
  </si>
  <si>
    <t>Fisenko, AV; Verchovsky, AB; Semjonova, LF; Pillinger, CT</t>
  </si>
  <si>
    <t>Carbon, nitrogen, and noble gases in the diamond fractions of the novo urei ureilite</t>
  </si>
  <si>
    <t>SOLAR SYSTEM RESEARCH</t>
  </si>
  <si>
    <t>SHOCK-PRODUCED DIAMONDS; PRIMITIVE CHONDRITES; PRESOLAR DIAMONDS; ORIGIN; COMPONENTS; ISOTOPE</t>
  </si>
  <si>
    <t>We measured the contents and isotopic compositions for C, N, and noble gases in the diamond fractions separated in a heavy liquid (rho = 2.9 g/cm(3)) from a sample enriched with diamond from the Novo Urei ureilite. The results show that the concentrations of nitrogen and noble gases in the diamond fraction isolated from the supernatant (the fraction is named DNU-1) are more than a factor of 1.5 higher than those in the diamond fraction from the residue (DNU-2). This difference is probably caused by smaller sizes of grains and (or) clusters of smaller grains as well as by larger defectiveness of the crystal lattice of the diamond in the DNU-1 fraction as compared to DNU-2. Both fractions are similar in the isotopic composition of C and N and in the ratios of trapped chemical elements. The results obtained and the published data concerning C, N, and noble gases in different fractions of other ureilites allow us to conclude the following. (1) The ureilite diamond was most likely formed from graphite and the fine-grained crystalline (or semiamorphous) carbonaceous phase as a result of shock transformation in the parent bodies. (2) The negative result in the search for the isotopically light component of nitrogen (delta(15)N is about -100 parts per thousand) in the Antarctic unshocked ureilite ALH 78019 (Rai et al., 2002), which introduced serious difficulties for explaining the origin of the ureilite diamond in the parent bodies during the impact, is most likely caused by the absorption of atmospheric nitrogen by the carbonaceous material in the processes of terrestrial weathering. (3) The source of light nitrogen (delta(15)N similar to -100 parts per thousand) in the ureilite diamond was probably the presolar diamond in the initial carbonaceous material of the ureilite parent bodies, because the impurity elements, including nitrogen (delta(15)N &lt; -350 parts per thousand), in this diamond could be trapped in the magmatic processes by the carbonaceous material, which became a precursor of the ureilite diamond in the shock event.</t>
  </si>
  <si>
    <t>Russian Acad Sci, Vernadsky Inst Geochem &amp; Analyt Chem, Moscow 117975, Russia; Open Univ, Planetary &amp; Space Sci Res Inst, Milton Keynes MK7 6AA, Bucks, England</t>
  </si>
  <si>
    <t>Russian Academy of Sciences; Vernadsky Institute of Geochemistry &amp; Analytical Chemistry; Open University - UK</t>
  </si>
  <si>
    <t>Fisenko, AV (corresponding author), Russian Acad Sci, Vernadsky Inst Geochem &amp; Analyt Chem, Ul Kosygina 19, Moscow 117975, Russia.</t>
  </si>
  <si>
    <t>MAIK NAUKA/INTERPERIODICA</t>
  </si>
  <si>
    <t>C/O KLUWER ACADEMIC-PLENUM PUBLISHERS, 233 SPRING ST, NEW YORK, NY 10013-1578 USA</t>
  </si>
  <si>
    <t>0038-0946</t>
  </si>
  <si>
    <t>SOLAR SYST RES+</t>
  </si>
  <si>
    <t>Solar Syst. Res.</t>
  </si>
  <si>
    <t>10.1023/B:SOLS.0000043814.61956.4c</t>
  </si>
  <si>
    <t>866RW</t>
  </si>
  <si>
    <t>WOS:000224791600005</t>
  </si>
  <si>
    <t>Laskowski, Z; Zdzitowiecki, K</t>
  </si>
  <si>
    <t>New morphological data on a sub-Antarctic acanthocephalan, Aspersentis johni (Baylis, 1929) (Palaeacanthocephala: Heteracanthocephalidae)</t>
  </si>
  <si>
    <t>SYSTEMATIC PARASITOLOGY</t>
  </si>
  <si>
    <t>Aspersentis johni (Baylis, 1929) (Acanthocephala: Heteracanthocephalidae) is redescribed based on specimens collected from a sub-Antarctic nototheniid fish, Patagonotothen longipes. Hosts were caught in the Beagle Channel (Magellanic subregion). The redescription incorporates previously undescribed or poorly described features and complete measurements. Acanthocephalans of the genus Aspersentis have a strong dorso-ventrally asymmetrical armament of the proboscis (ventral hooks are much larger than dorsal), the presence of conspicuous spines on the anterior part of the trunk and smaller spines occurring more posteriorly and reaching the extremity of the body, and narrow lemnisci longer than the proboscis receptacle. Features useful to distinguish A. johni from A. megarhynchus (Linstow, 1892) are: 10-13 proboscis hooks in each row, the maximum length of the ventral hooks 77-108 mum, a narrower proboscis with a length/width ratio of 2.16-3.22:1 (mean 2.78:1), an egg length of 87-102 mum, and an unusual form of the posterior extremity of females (the presence of a terminal concavity between two lateral lobes).</t>
  </si>
  <si>
    <t>Polish Acad Sci, W Stefanski Inst Parasitol, Ul Twarda 51-55, PL-00818 Warsaw, Poland.</t>
  </si>
  <si>
    <t>0165-5752</t>
  </si>
  <si>
    <t>1573-5192</t>
  </si>
  <si>
    <t>SYST PARASITOL</t>
  </si>
  <si>
    <t>Syst. Parasitol.</t>
  </si>
  <si>
    <t>10.1023/B:SYPA.0000038443.88348.0b</t>
  </si>
  <si>
    <t>Parasitology</t>
  </si>
  <si>
    <t>847DM</t>
  </si>
  <si>
    <t>WOS:000223372900003</t>
  </si>
  <si>
    <t>Larour, E; Rignot, E; Aubry, D</t>
  </si>
  <si>
    <t>Modelling of rift propagation on Ronne Ice Shelf, Antarctica, and sensitivity to climate change</t>
  </si>
  <si>
    <t>SAR INTERFEROMETRY; DYNAMICS; STREAM; CREVASSES; FRONT</t>
  </si>
  <si>
    <t>The calving of icebergs from large Antarctic ice shelves is controlled mainly by the formation and propagation of rifts originating from the side margins of the ice shelf and local areas of grounding. Using InSAR, we observe the evolution of rifts along Hemmen Ice Rise, on Ronne Ice Shelf, Antarctica prior to the large calving event of October 1998. We couple these observations with a computer model combining the viscous flow of an ice shelf with a linear elastic fracture mechanics description of the propagation of rifts. The model reveals that the ice melange trapped in between the rifts exerts a major control on the propagation of rifts, and in turn on ice shelf stability. Melting of the ice melange from oceanic or atmospheric warming would significantly increase the propagation rate of rifts and threaten the ice-shelf stability.</t>
  </si>
  <si>
    <t>CALTECH, Jet Prop Lab, Pasadena, CA 91109 USA; Ecole Cent Paris, Lab Mecan Sols Struct &amp; Mat, Chatenay Malabry, France</t>
  </si>
  <si>
    <t>National Aeronautics &amp; Space Administration (NASA); NASA Jet Propulsion Laboratory (JPL); California Institute of Technology; Universite Paris Saclay</t>
  </si>
  <si>
    <t>Larour, E (corresponding author), CALTECH, Jet Prop Lab, 4800 Oak Grove Dr,MS 200-227, Pasadena, CA 91109 USA.</t>
  </si>
  <si>
    <t>eric.larour@jpl.nasa.gov</t>
  </si>
  <si>
    <t>Aubry, Denis/M-7880-2014; Rignot, Eric/A-4560-2014</t>
  </si>
  <si>
    <t>Rignot, Eric/0000-0002-3366-0481</t>
  </si>
  <si>
    <t>AUG 31</t>
  </si>
  <si>
    <t>L16404</t>
  </si>
  <si>
    <t>10.1029/2004GL020077</t>
  </si>
  <si>
    <t>854FV</t>
  </si>
  <si>
    <t>WOS:000223887900001</t>
  </si>
  <si>
    <t>Isla, E; Masqué, P; Palanques, A; Guillén, J; Puig, P; Sanchez-Cabeza, JA</t>
  </si>
  <si>
    <t>Sedimentation of biogenic constituents during the last century in western Bransfield and Gerlache Straits, Antarctica:: a relation to currents, primary production, and sea floor relief</t>
  </si>
  <si>
    <t>Bransfield Strait; Gerlache Strait; organic carbon; biogenic silica; sediment accumulation; submarine canyons</t>
  </si>
  <si>
    <t>ACCUMULATION RATES; CONTINENTAL-SHELF; SURFACE SEDIMENTS; WEDDELL SEA; ROSS SEA; SETTLING PARTICLES; LATERAL TRANSPORT; MARINE-SEDIMENTS; SUBMARINE-CANYON; SOUTHERN-OCEAN</t>
  </si>
  <si>
    <t>As part of the FRUELA experiment, 11 sediment cores were recovered from the Bellingshausen Sea, the western Bransfield and Gerlache Straits (Antarctic Peninsula) to determine the spatial distribution of organic carbon (OC), biogenic silica (BSi), and nitrogen (N) in the sediment under regions of known irregular primary production rates (PPRs). OC, BSi, and N contents ranged from 0.3% to 1.2%, from 5.7% to 20.4%, and from 0.03% to 0.17%, respectively. Apparent mean sediment accumulation rates (SARs) varied between 0.25 and 3.11 mm year(-1) (220 and 1750 g m(-2) year(-1)). Central Gerlache and western Bransfield Straits (the Orleans Canyon) had the highest biogenic constituents contents and sediment accumulation rates, whereas the northern coast off Snow Island (Bellingshausen Sea) showed the lowest values. Central Gerlache Strait, with the highest primary production rates in the study area, was the only region where the OC and BSi contents in the sediment corresponded to the photosynthetic activity in the euphotic zone above it. At the extremes of Gerlache Strait as in western Bransfield Strait, sediment focusing by currents enhanced by depressions in the sea floor contributed to develop regions with high biogenic constituent concentrations, whereas at the Bellingshausen Sea and western Gerlache Strait, winnowing by currents may drift away the biogenic material exported from the euphotic zone. Apparently, bottom relief and currents rather than solely depth determined the modem distribution and accumulation rates of biogenic particulate matter in the study area. Paleoceanographic interpretations of the sedimentary record from Antarctic marginal seas, such as Gerlache and Bransfield Straits, should consider that focusing due to lateral transport and sea floor morphology and the preferential degradation of OC relative to BSi may increase to an important degree the biogenic contents in the sediment, especially the opal. OC and BSi accumulation in Antarctic marginal seas could be as important as the broad continental shelves despite large spatial differences. (C) 2004 Elsevier B.V. All rights reserved.</t>
  </si>
  <si>
    <t>CSIC, Inst Ciencias Mar, Barcelona 08003, Spain; Autonomous Univ Barcelona, Inst Ciencias &amp; Tecnol Ambientals, E-08193 Barcelona, Spain</t>
  </si>
  <si>
    <t>Consejo Superior de Investigaciones Cientificas (CSIC); CSIC - Centro Mediterraneo de Investigaciones Marinas y Ambientales (CMIMA); CSIC - Instituto de Ciencias del Mar (ICM); Autonomous University of Barcelona</t>
  </si>
  <si>
    <t>Isla, E (corresponding author), CSIC, Inst Ciencias Mar, Passeig Maritim Barceloneta 37-49, Barcelona 08003, Spain.</t>
  </si>
  <si>
    <t>isla@icm.csic.es</t>
  </si>
  <si>
    <t>Puig, Pere/E-5422-2013; Palanques, Albert/C-2661-2013; Masque, Pere/B-7379-2008; Guillén, Jorge/E-6564-2010; Masque, Pere/AAC-9349-2022; Sanchez-Cabeza, Joan-Albert/Q-2394-2016</t>
  </si>
  <si>
    <t>Puig, Pere/0000-0001-6189-5504; Masque, Pere/0000-0002-1789-320X; Guillén, Jorge/0000-0001-7162-8135; Masque, Pere/0000-0002-1789-320X; Isla, Enrique/0000-0003-4959-6936; Palanques, Albert/0000-0003-2544-2342; Sanchez-Cabeza, Joan-Albert/0000-0002-3540-1168</t>
  </si>
  <si>
    <t>AUG 30</t>
  </si>
  <si>
    <t>10.1016/j.margeo.2004.06.003</t>
  </si>
  <si>
    <t>855AK</t>
  </si>
  <si>
    <t>WOS:000223945000014</t>
  </si>
  <si>
    <t>Del Ben, A; Mallardi, A</t>
  </si>
  <si>
    <t>Interpretation and chronostratigraphic mapping of multichannel seismic reflection profile I95167, Eastern Falkland Plateau (South Atlantic)</t>
  </si>
  <si>
    <t>Falkland Plateau; North Scotia Ridge; seismic reflection; seismic stratigraphy; chronostratigraphic section; sediment drift</t>
  </si>
  <si>
    <t>MAURICE-EWING BANK</t>
  </si>
  <si>
    <t>The Falkland Plateau (FP) is a submarine high representing the eastern prolongation of the South America continent. It separates the Argentine Basin of the South Atlantic Ocean from the Scotia Sea of the Antarctic region. A south-north seismic section across the Falkland Plateau has been interpreted using information from two wells sited on the margin of the Maurice Ewing Bank (MEB). On the Plateau, the sedimentary cover has a regionally horizontal configuration with high lateral continuity of the reflecting horizons. The older sequence is dominated by a normal fault system of the Mesozoic Gondwana break-up tectonics, partially reactivated by the following tectonic events. Between them, the one mainly affecting the studied area is the transpression of the North Scotia Ridge (NSR), producing some thrusting in the sedimentary cover of the Falkland Trough (FT, visible only on the south-extremity of the interpreted section) and a prominent tilting of its whole crust. The interpreted seismic section outlines a gradually thinner crust from the Maurice Ewing Bank Margin to the Falkland Plateau and to the Falkland Trough. During the interpretation, particular attention was given to picking the main unconformities, to analysing the relationships of reflections within the sequences to the unit boundaries, and to identifying, by the seismic facies analysis, the different depositional units. These last, labelled with symbols A divided by G, from Mesozoic to Present age, represent the whole sedimentary cover lying on the pre-Cambrian basement of the Falkland Plateau. In the reconstructed chronostratigraphic section, the whole data set has been displayed as a diagram wherein age decreases upward and the lateral extent of units is on the horizontal scale, illustrating the main sedimentary and erosional events in the area. Erosion, nondeposition and deposition of sediment drifts by the sea bottom currents, particularly active from the Cainozoic to the Present, are mostly linked to the Gondwana breakup, with the Mesozoic opening of the South Atlantic Ocean and the Cainozoic opening of the Drake Passage. During the Mesozoic time, the Proto-South Atlantic and Indian Oceans connection caused extensive erosion and nondeposition, resulting in absence of important portions of the sedimentary cover. (C) 2004 Published by Elsevier B.V.</t>
  </si>
  <si>
    <t>Univ Trieste, Dept Geol Environm &amp; Marine Sci, Trieste, Italy</t>
  </si>
  <si>
    <t>University of Trieste</t>
  </si>
  <si>
    <t>Del Ben, A (corresponding author), Univ Trieste, Dept Geol Environm &amp; Marine Sci, Via Weiss,1, Trieste, Italy.</t>
  </si>
  <si>
    <t>delbenan@units.it</t>
  </si>
  <si>
    <t>10.1016/j.margeo.2004.06.008</t>
  </si>
  <si>
    <t>WOS:000223945000018</t>
  </si>
  <si>
    <t>Kaspers, KA; van de Wal, RSW; de Gouw, JA; Hofstede, CM; van den Broeke, MR; Reijmer, CH; van der Veen, C; Neubert, REM; Meijer, HAJ; Brenninkmeijer, CAM; Karlöf, L; Winther, JG</t>
  </si>
  <si>
    <t>Seasonal cycles of nonmethane hydrocarbons and methyl chloride, as derived from firn air from Dronning Maud Land, Antarctica -: art. no. D16306</t>
  </si>
  <si>
    <t>firn air; seasonal cycles; NMHC; methyl chloride</t>
  </si>
  <si>
    <t>POLAR ICE CORES; SUMMIT; GREENLAND; INCREASE; CLIMATE; SNOW; MASS</t>
  </si>
  <si>
    <t>[1] This paper presents atmospheric concentrations of ethane, propane, acetylene, and methyl chloride, inferred from firn air by using a numerical one-dimensional firn diffusion model. The firn air was collected on the Antarctic plateau in Dronning Maud Land during the Norwegian Antarctic Research Expedition (NARE) 2000/2001. The influences of seasonal variations in temperature and pressure and the variation in accumulation rate were studied and are not negligible, but appear to cancel each other out if all variability is taken into account. This paper also demonstrates that firn air from the uppermost firn layer (30 m) can be used to derive seasonal cycles of these trace gases, without needing a year-round facility. These cycles display higher atmospheric mixing ratios during the Antarctic winter and lower atmospheric mixing ratios in summer. The cycles for the year 2000 show amplitudes of 140 +/- 25 ppt for ethane, 30 +/- 10 ppt for propane, 24 +/- 6 ppt for acetylene, and 40 +/- 20 ppt for methyl chloride. For ethane and propane the amplitudes and months of maximum atmospheric concentration (phase) are in reasonable agreement with year-round measurements at the South Pole and Baring Head (New Zealand). The amplitudes for methyl chloride and acetylene are significantly greater than seen in year-round measurements at the South Pole and at Neumayer (Antarctica), although the phase is in line. While biomass burning and removal by OH radicals can partially explain these large amplitudes, the exact cause still remains unclear for methyl chloride and acetylene.</t>
  </si>
  <si>
    <t>Univ Utrecht, Inst Marine &amp; Atmospher Res Utrecht, NL-3584 CC Utrecht, Netherlands; Univ Groningen, Ctr Isotope Res, NL-9747 AG Groningen, Netherlands; Max Planck Inst Chem, D-55020 Mainz, Germany; Norwegian Polar Res Inst, Polar Environm Ctr, N-9296 Tromso, Norway</t>
  </si>
  <si>
    <t>Utrecht University; University of Groningen; Max Planck Society; Norwegian Polar Institute</t>
  </si>
  <si>
    <t>Univ Utrecht, Inst Marine &amp; Atmospher Res Utrecht, Princetonpl 5, NL-3584 CC Utrecht, Netherlands.</t>
  </si>
  <si>
    <t>k.a.kaspers@phys.uu.nl; wal@phys.uu.nl; jdegouw@al.noaa.gov; c.m.hofstede@phys.uu.nl; broeke@phys.uu.nl; reijmerc@knmi.nl; cvdeen@phys.uu.nl; neubert@phys.rug.nl; meijer@phys.rug.nl; carlb@mpch-mainz.mpg.de; karlof@npolar.no; winther@npolar.no</t>
  </si>
  <si>
    <t>de Gouw, Joost/A-9675-2008; van de wal, roderik/D-1705-2011; Neubert, Rolf/U-2766-2017; Reijmer, Carleen H/G-8736-2011; Meijer, Harro A J/A-5787-2012; Van den Broeke, Michiel R./F-7867-2011; van der Veen, Carina/F-5344-2011; Neubert, Rolf/AAO-2248-2021; Brenninkmeijer, Carl/B-6860-2013</t>
  </si>
  <si>
    <t>van de wal, roderik/0000-0003-2543-3892; Neubert, Rolf/0000-0001-8848-4721; Reijmer, Carleen H/0000-0001-8299-3883; Van den Broeke, Michiel R./0000-0003-4662-7565; Neubert, Rolf/0000-0001-8848-4721; Meijer, Harro A.J./0000-0001-8744-5632; de Gouw, Joost/0000-0002-0385-1826</t>
  </si>
  <si>
    <t>AUG 28</t>
  </si>
  <si>
    <t>D16</t>
  </si>
  <si>
    <t>D16306</t>
  </si>
  <si>
    <t>10.1029/2004JD004629</t>
  </si>
  <si>
    <t>850MK</t>
  </si>
  <si>
    <t>WOS:000223615800002</t>
  </si>
  <si>
    <t>Rohling, EJ; Marsh, R; Wells, NC; Siddall, M; Edwards, NR</t>
  </si>
  <si>
    <t>Similar meltwater contributions to glacial sea level changes from Antarctic and northern ice sheets</t>
  </si>
  <si>
    <t>CLIMATE-CHANGE; GREENLAND; RECORD; CYCLE; INSTABILITY; MAXIMUM; EVENTS; PERIOD; MODEL; CORE</t>
  </si>
  <si>
    <t>The period between 75,000 and 20,000 years ago was characterized by high variability in climate(1-12) and sea level(13,14). Southern Ocean records of ice-rafted debris(15) suggest a significant contribution to the sea level changes from melt water of Antarctic origin, in addition to likely contributions from northern ice sheets, but the relative volumes of melt water from northern and southern sources have yet to be established. Here we simulate the first-order impact of a range of relative meltwater releases from the two polar regions on the distribution of marine oxygen isotopes, using an intermediate complexity model. By comparing our simulations with oxygen isotope data from sediment cores, we infer that the contributions from Antarctica and the northern ice sheets to the documented sea level rises between 65,000 and 35,000 years ago(13) were approximately equal, each accounting for a rise of about 15 m. The reductions in Antarctic ice volume implied by our analysis are comparable to that inferred previously for the Antarctic contribution to meltwater pulse 1A (refs 16, 17), which occurred about 14,200 years ago, during the last deglaciation.</t>
  </si>
  <si>
    <t>Southampton Oceanog Ctr, Southampton SO14 3ZH, Hants, England; Univ Bern, NCCR Climate, CH-3012 Bern, Switzerland</t>
  </si>
  <si>
    <t>NERC National Oceanography Centre; University of Southampton; University of Bern</t>
  </si>
  <si>
    <t>Southampton Oceanog Ctr, Southampton SO14 3ZH, Hants, England.</t>
  </si>
  <si>
    <t>e.rohling@soc.soton.ac.uk</t>
  </si>
  <si>
    <t>Rohling, Eelco J/B-9736-2008; Marsh, Robert/G-4988-2013</t>
  </si>
  <si>
    <t>Rohling, Eelco J/0000-0001-5349-2158; Marsh, Robert/0000-0002-1051-8749</t>
  </si>
  <si>
    <t>Natural Environment Research Council [NER/T/S/2002/00455] Funding Source: researchfish</t>
  </si>
  <si>
    <t>AUG 26</t>
  </si>
  <si>
    <t>10.1038/nature02859</t>
  </si>
  <si>
    <t>849CD</t>
  </si>
  <si>
    <t>WOS:000223514900040</t>
  </si>
  <si>
    <t>Singh, SM; Tiwari, AK</t>
  </si>
  <si>
    <t>Deep lake sampling in Antarctica using helicopters</t>
  </si>
  <si>
    <t>Natl Ctr Antarctic &amp; Ocean Res, Vasc Da Gama 403804, India</t>
  </si>
  <si>
    <t>Ministry of Earth Sciences (MoES) - India; National Centre for Polar and Ocean Research (NCPOR)</t>
  </si>
  <si>
    <t>Natl Ctr Antarctic &amp; Ocean Res, Headland Sada, Vasc Da Gama 403804, India.</t>
  </si>
  <si>
    <t>anooptiwari@ncaor.org</t>
  </si>
  <si>
    <t>AUG 25</t>
  </si>
  <si>
    <t>851TE</t>
  </si>
  <si>
    <t>WOS:000223707500009</t>
  </si>
  <si>
    <t>Kaleschke, L; Richter, A; Burrows, J; Afe, O; Heygster, G; Notholt, J; Rankin, AM; Roscoe, HK; Hollwedel, J; Wagner, T; Jacobi, HW</t>
  </si>
  <si>
    <t>Frost flowers on sea ice as a source of sea salt and their influence on tropospheric halogen chemistry</t>
  </si>
  <si>
    <t>MARINE BOUNDARY-LAYER; OZONE DEPLETION; POLAR SUNRISE; SURFACE; BROMINE; AEROSOL; DESTRUCTION; ATMOSPHERE; RELEASE; REGIONS</t>
  </si>
  <si>
    <t>Frost flowers grow on newly-formed sea ice from a saturated water vapour layer. They provide a large effective surface area and a reservoir of sea salt ions in the liquid phase with triple the ion concentration of sea water. Recently, frost flowers have been recognised as the dominant source of sea salt aerosol in the Antarctic, and it has been speculated that they could be involved in processes causing severe tropospheric ozone depletion events during the polar sunrise. These events can be explained by heterogeneous autocatalytic reactions taking place on salt-laden ice surfaces which exponentially increase the reactive gas phase bromine (bromine explosion). We analyzed tropospheric bromine monoxide (BrO) and the sea ice coverage both measured from satellite sensors. Our model based interpretation shows that young ice regions potentially covered with frost flowers seem to be the source of bromine found in bromine explosion events.</t>
  </si>
  <si>
    <t>Univ Bremen, Inst Environm Phys, D-28334 Bremen, Germany; British Antarctic Survey, NERC, Cambridge CB3 0ET, England; Heidelberg Univ, Inst Environm Phys, D-6900 Heidelberg, Germany; Alfred Wegener Inst Polar &amp; Marine Res, D-2850 Bremerhaven, Germany</t>
  </si>
  <si>
    <t>University of Bremen; UK Research &amp; Innovation (UKRI); Natural Environment Research Council (NERC); NERC British Antarctic Survey; Ruprecht Karls University Heidelberg; Helmholtz Association; Alfred Wegener Institute, Helmholtz Centre for Polar &amp; Marine Research</t>
  </si>
  <si>
    <t>Univ Bremen, Inst Environm Phys, POB 330440, D-28334 Bremen, Germany.</t>
  </si>
  <si>
    <t>lkalesch@iup.physik.uni-bremen.de</t>
  </si>
  <si>
    <t>Burrows, John Philip/AAF-8468-2019; Heygster, Georg C./B-4928-2014; Richter, Andreas/C-4971-2008; Notholt, Justus/P-4520-2016</t>
  </si>
  <si>
    <t>Burrows, John Philip/0000-0002-6821-5580; Jacobi, Hans-Werner/0000-0003-2230-3136; Heygster, Georg/0000-0003-2232-7429; Richter, Andreas/0000-0003-3339-212X; Kaleschke, Lars/0000-0001-7086-3299; Notholt, Justus/0000-0002-3324-885X</t>
  </si>
  <si>
    <t>L16114</t>
  </si>
  <si>
    <t>10.1029/2004GL020655</t>
  </si>
  <si>
    <t>850LZ</t>
  </si>
  <si>
    <t>Green Accepted, Green Published, Bronze</t>
  </si>
  <si>
    <t>WOS:000223614600004</t>
  </si>
  <si>
    <t>Kaspers, KA; van de Wal, RSW; van den Broeke, MR; Schwander, J; van Lipzig, NPM; Brenninkmeijer, CAM</t>
  </si>
  <si>
    <t>Model calculations of the age of firn air across the Antarctic continent</t>
  </si>
  <si>
    <t>SURFACE MASS-BALANCE; POLAR ICE CORES; RECORD</t>
  </si>
  <si>
    <t>The age of firn air in Antarctica at pore close-off depth is only known for a few specific sites where firn air has been sampled for analyses. We present a model that calculates the age of firn air at pore close-off depth for the entire Antarctic continent. The model basically uses four meteorological parameters as input (surface temperature, pressure, accumulation rate and wind speed). Using parameterisations for surface snow density, pore close-off density and tortuosity, in combination with a density-depth model and data of a regional atmospheric climate model, distribution of pore close-off depth for the entire Antarctic continent is determined. The deepest pore close-off depth was found for the East Antarctic Plateau near 72degrees E, 82degrees S, at 150+/-15m (2sigma). A firn air diffusion model was applied to calculate the age of CO2 at pore close-off depth. The results predict that the oldest firn gas (CO2 age) is located between Dome Fuji, Dome Argos and Vostok at 82degrees E, 83degrees S being 156+/-22 (1sigma) years old with an age distribution of 103 years. At this location an atmospheric trace gas record should be obtained. In this study we show that methyl chloride could be recorded with a predicted length of 187 years (mean age of methyl chloride) as an example for trace gas records at this location. The longest record currently available from firn air is derived at South Pole, being 80 years. Sensitivity tests reveal that the locations with old firn air (East Antarctic Plateau) have an estimated uncertainty (2sigma) for the Modelled mean CO2 age at pore close-off depth of 30% and of about 35% for locations with younger firn air (mean CO2 age typically 40 years). Comparing the modelled age of CO2 at pore close-off depth with directly determined ages at ten sites yielded a correlation coefficient of 0.90 and a slope close to 1, suggesting a high level of confidence for the modelled results in spite of considerable remaining uncertainties.</t>
  </si>
  <si>
    <t>Univ Utrecht, Inst Marine &amp; Atmospher Res Utrecht, NL-3584 CC Utrecht, Netherlands; Univ Bern, Inst Phys, CH-3012 Bern, Switzerland; British Antarctic Survey, Cambridge CB3 0ET, England; Max Planck Inst Chem, D-55128 Mainz, Germany</t>
  </si>
  <si>
    <t>Utrecht University; University of Bern; UK Research &amp; Innovation (UKRI); Natural Environment Research Council (NERC); NERC British Antarctic Survey; Max Planck Society</t>
  </si>
  <si>
    <t>k.a.kaspers@phys.uu.nl</t>
  </si>
  <si>
    <t>van de wal, roderik/D-1705-2011; Brenninkmeijer, Carl/B-6860-2013; van Lipzig, Nicole/ABF-2964-2021; Van den Broeke, Michiel R./F-7867-2011</t>
  </si>
  <si>
    <t>van de wal, roderik/0000-0003-2543-3892; van Lipzig, Nicole/0000-0003-2899-4046; Van den Broeke, Michiel R./0000-0003-4662-7565</t>
  </si>
  <si>
    <t>AUG 24</t>
  </si>
  <si>
    <t>10.5194/acp-4-1365-2004</t>
  </si>
  <si>
    <t>848YP</t>
  </si>
  <si>
    <t>Green Submitted, Green Accepted, Green Published, gold</t>
  </si>
  <si>
    <t>WOS:000223504400001</t>
  </si>
  <si>
    <t>Morris, RJ; Murphy, DJ; Reid, IM; Holdsworth, DA; Vincent, RA</t>
  </si>
  <si>
    <t>First polar mesosphere summer echoes observed at Davis, Antarctica (68.6°S) -: art. no. L16111</t>
  </si>
  <si>
    <t>RADAR OBSERVATIONS; POKER FLAT; VHF RADAR; PMSE; MESOPAUSE; CLOUDS; WINDS</t>
  </si>
  <si>
    <t>We report the first observations of polar mesosphere summer echoes (PMSE) above the high-latitude Southern Hemisphere (SH) station Davis, Antarctica (68.6degreesS, 78.0degreesE geographic; 74.6degreesS magnetic). Observations were obtained using a 55 MHz atmospheric radar, the first stage of which was commissioned late in the austral summer of 2002-2003. The radar commenced mesosphere observations with approximately 20 kW of transmitted power in October 2003. PMSE were recorded from 19 November to 3 December 2003 and, after a break in radar operation, from 27 January to 21 February 2004. We present the initial seasonal and diurnal occurrence morphology from 180 hours of Davis PMSE observations. Our initial findings reveal that SH PMSE show similar backscatter echo characteristics and occurrence properties to those reported for the Northern Hemisphere (NH).</t>
  </si>
  <si>
    <t>Australian Antarctic Div, Kingston, Tas 7050, Australia; Univ Adelaide, Dept Phys &amp; Math Phys, Adelaide, SA 5005, Australia; Atmospher Radar Syst, Thebarton, SA, Australia</t>
  </si>
  <si>
    <t>Morris, RJ (corresponding author), Australian Antarctic Div, 203 Channel Highway, Kingston, Tas 7050, Australia.</t>
  </si>
  <si>
    <t>ray.morris@aad.gov.au</t>
  </si>
  <si>
    <t>Vincent, Robert A/E-5450-2013; Reid, Iain/B-5681-2012</t>
  </si>
  <si>
    <t>Vincent, Robert A/0000-0001-6559-6544; Reid, Iain/0000-0003-2340-9047</t>
  </si>
  <si>
    <t>L16111</t>
  </si>
  <si>
    <t>10.1029/2004GL020352</t>
  </si>
  <si>
    <t>850LY</t>
  </si>
  <si>
    <t>WOS:000223614500003</t>
  </si>
  <si>
    <t>Babu, KN; Sharma, R; Agarwal, N; Agarwal, VK; Weller, RA</t>
  </si>
  <si>
    <t>Study of the mixed layer depth variations within the north Indian Ocean using a 1-D model</t>
  </si>
  <si>
    <t>biological heating; ERS scatterometer wind; extinction depth; 1-D mixed layer model; mixed layer depth variations</t>
  </si>
  <si>
    <t>SEA-SURFACE TEMPERATURE; CENTRAL ARABIAN SEA; SEASONAL CYCLE; PACIFIC-OCEAN; GLOBAL OCEAN; DOWNWARD IRRADIANCE; SOLAR-RADIATION; HEAT-BUDGET; VARIABILITY; CLIMATOLOGY</t>
  </si>
  <si>
    <t>[1] Mixed layer depth (MLD) over the north Indian Ocean ( 30 degreesS to 30 degreesN and 40 degreesE to 110degrees E) is computed using the simple one-dimensional model of Price et al. [ 1986] forced by satellite-derived parameters ( winds and chlorophyll). Seasonal chlorophyll observations obtained from the Coastal Zone Color Scanner allow us to examine how biology interacts with physics in the upper ocean by changing the absorption of light and thus the heating by penetrative solar radiation, an effect we refer to as biological heating. Our analysis focus mainly on two aspects: the importance of varying biology in the model simulations relative to runs with constant biology and secondly, the contribution of biology to the seasonal variability of the MLD. The model results are compared with observations from a surface mooring deployed for 1 year ( October 1994 to October 1995) in the central Arabian Sea and also with available conductivity-temperature-depth (CTD) observations from the Arabian Sea during the period 1994 - 1995. The effect of biological heating on the upper ocean thermal structure in central Arabian Sea is found to be greatest in August. In other months it is either the wind, which is the controlling factor in mixed layer variations, or the density variations due to winter cooling and internal dynamics. A large number of CTD observations collected under the Joint Global Ocean Flux study and World Ocean Circulation Experiment have been used to validate model results. We find an overall improvement by approximately 2 - 3 m in root-mean-square error in MLD estimates when seasonally varying chlorophyll observations are used in the model.</t>
  </si>
  <si>
    <t>Ctr Space Applicat, Meteorol &amp; Oceanog Grp, Ahmadabad 380015, Gujarat, India; Woods Hole Oceanog Inst, Woods Hole, MA 02543 USA</t>
  </si>
  <si>
    <t>Department of Space (DoS), Government of India; Indian Space Research Organisation (ISRO); Space Applications Centre (SAC); Woods Hole Oceanographic Institution</t>
  </si>
  <si>
    <t>Babu, KN (corresponding author), Natl Ctr Antarctic &amp; Ocean Res, Headland Sada, Sada 403804, Goa, India.</t>
  </si>
  <si>
    <t>knbabu@ncaor.org; rashmisharma_01@rediffmail.com; naggarwal77@hotmail.com; vkagarwal6@yahoo.com; rweller@whoi.edu</t>
  </si>
  <si>
    <t>Agarwal, Vijay/ABI-3478-2020</t>
  </si>
  <si>
    <t>agarwal, neeraj/0000-0002-8693-1222</t>
  </si>
  <si>
    <t>C8</t>
  </si>
  <si>
    <t>C08016</t>
  </si>
  <si>
    <t>10.1029/2003JC002024</t>
  </si>
  <si>
    <t>850MO</t>
  </si>
  <si>
    <t>WOS:000223616200001</t>
  </si>
  <si>
    <t>Huang, YS; Wang, Y; Pizzarello, S</t>
  </si>
  <si>
    <t>Molecular and compound-specific isotopic study of monocarboxylic acids in murchison and antarctic meteorites.</t>
  </si>
  <si>
    <t>ABSTRACTS OF PAPERS OF THE AMERICAN CHEMICAL SOCIETY</t>
  </si>
  <si>
    <t>Meeting of the Division of Chemical Toxicology of the American-Chemical-Society held at the 228th National Meeting of the American-Chemical-Society</t>
  </si>
  <si>
    <t>AUG 22-26, 2004</t>
  </si>
  <si>
    <t>Philadelphia, PA</t>
  </si>
  <si>
    <t>Brown Univ, Dept Geol Sci, Providence, RI 02912 USA; Arizona State Univ, Tempe, AZ 85287 USA</t>
  </si>
  <si>
    <t>Brown University; Arizona State University; Arizona State University-Tempe</t>
  </si>
  <si>
    <t>Yongsong_Huang@brown.edu; Yi_Yang@brown.edu</t>
  </si>
  <si>
    <t>Huang, Yanhong/GVU-8674-2022</t>
  </si>
  <si>
    <t>0065-7727</t>
  </si>
  <si>
    <t>ABSTR PAP AM CHEM S</t>
  </si>
  <si>
    <t>Abstr. Pap. Am. Chem. Soc.</t>
  </si>
  <si>
    <t>AUG 22</t>
  </si>
  <si>
    <t>033-GEOC</t>
  </si>
  <si>
    <t>U695</t>
  </si>
  <si>
    <t>Chemistry, Multidisciplinary</t>
  </si>
  <si>
    <t>851UZ</t>
  </si>
  <si>
    <t>WOS:000223712802887</t>
  </si>
  <si>
    <t>Röthlisberger, R; Bigler, M; Wolff, EW; Joos, F; Monnin, E; Hutterli, MA</t>
  </si>
  <si>
    <t>Ice core evidence for the extent of past atmospheric CO2 change due to iron fertilisation -: art. no. L16207</t>
  </si>
  <si>
    <t>SOUTHERN-OCEAN; CLIMATE; DUST</t>
  </si>
  <si>
    <t>An extended high-resolution ice core record of dust deposition over the past 60 ka from Dome C, Antarctica, is presented. The data are in conflict with the idea that changes in aeolian iron input into the Southern Ocean were the major cause for the 80 ppm glacial-interglacial CO2 increase. During the deglaciation, the CO2 increase shows a linear relationship with the fall of the logarithm of the nss-Ca2+ flux, a proxy for dust deposition. However, the very large variations in the nss-Ca2+ flux related to the glacial Antarctic warm events A1 to A4 were accompanied by small CO2 variations only. Our data-based analysis suggests that decreased Southern Ocean dust deposition caused at most a 20 ppm increase in CO2 at the last glacial-interglacial transition. Rapid decreases in dust deposition to the northern Pacific could have been responsible for a maximum of 8 ppm in addition.</t>
  </si>
  <si>
    <t>British Antarctic Survey, NERC, Cambridge CB3 0ET, England; Univ Bern, NCCR Climate, CH-3012 Bern, Switzerland</t>
  </si>
  <si>
    <t>UK Research &amp; Innovation (UKRI); Natural Environment Research Council (NERC); NERC British Antarctic Survey; University of Bern</t>
  </si>
  <si>
    <t>Univ Bern, NCCR Climate, Erlachstr 9A, CH-3012 Bern, Switzerland.</t>
  </si>
  <si>
    <t>regine@giub.unibe.ch</t>
  </si>
  <si>
    <t>Bigler, Matthias/HTT-3872-2023; Joos, Fortunat/B-4118-2018; Bishnoi, Mamta/AAQ-8346-2021; Wolff, Eric W/D-7925-2014</t>
  </si>
  <si>
    <t>Bigler, Matthias/0000-0003-0184-4013; Joos, Fortunat/0000-0002-9483-6030; Bishnoi, Mamta/0000-0003-4987-0536; Wolff, Eric W/0000-0002-5914-8531</t>
  </si>
  <si>
    <t>AUG 21</t>
  </si>
  <si>
    <t>L16207</t>
  </si>
  <si>
    <t>10.1029/2004GL020338</t>
  </si>
  <si>
    <t>849ND</t>
  </si>
  <si>
    <t>WOS:000223544600005</t>
  </si>
  <si>
    <t>Yoshikawa, Y; Church, JA; Uchida, H; White, NJ</t>
  </si>
  <si>
    <t>Near bottom currents and their relation to the transport in the Kuroshio Extension</t>
  </si>
  <si>
    <t>NORTH PACIFIC; VARIABILITY; VELOCITY; SYSTEM; OCEAN; FIELD; 152-DEGREES-E; 35-DEGREES-N; SECTION</t>
  </si>
  <si>
    <t>Near bottom current structure in the area of the Kuroshio Extension is examined using Lowered ADCP data obtained along 146degrees25'E and 152degrees30'E. The flow of the Kuroshio Extension reaches the ocean floor with a shift of the current to the right with depth. The near bottom currents have speeds of over 10 cm/s. Westward deep counter currents are observed to the north and south of the near bottom Kuroshio Extension. The eastward Kuroshio Extension transport is 163 Sv across 146degrees25'E and 113 Sv across 152degrees30'E, larger than previous studies because the contribution of the barotropic flow is twice that of the geostrophic flow. The downstream variation of the transport suggests the Kuroshio Extension strength increases after separating from the coast of Japan and decreases before 152degrees30'E. However, temporal variability could also contribute to the different transport estimates.</t>
  </si>
  <si>
    <t>CSIRO Marine Res, Hobart, Tas 7001, Australia; Japan Agcy Marine Earth Sci &amp; Technol, Inst Observat Res Global Change, Kanagawa 2370061, Japan; Antarctic Climate &amp; Ecosyst CRC, Hobart, Tas, Australia</t>
  </si>
  <si>
    <t>Commonwealth Scientific &amp; Industrial Research Organisation (CSIRO); Japan Agency for Marine-Earth Science &amp; Technology (JAMSTEC); University of Tasmania</t>
  </si>
  <si>
    <t>Yoshikawa, Y (corresponding author), CSIRO Marine Res, GPO Box 1538, Hobart, Tas 7001, Australia.</t>
  </si>
  <si>
    <t>yoshikaway@jamstec.go.jp</t>
  </si>
  <si>
    <t>White, Neil/B-2077-2013; Church, John A/A-1541-2012</t>
  </si>
  <si>
    <t>Church, John A/0000-0002-7037-8194</t>
  </si>
  <si>
    <t>L16309</t>
  </si>
  <si>
    <t>10.1029/2004GL020068</t>
  </si>
  <si>
    <t>WOS:000223544600003</t>
  </si>
  <si>
    <t>Xiao, CD; Mayewski, PA; Qin, DH; Li, ZQ; Zhang, MJ; Yan, YP</t>
  </si>
  <si>
    <t>Sea level pressure variability over the southern Indian Ocean inferred from a glaciochemical record in Princess Elizabeth Land, east Antarctica</t>
  </si>
  <si>
    <t>ice core; east Antarctica; southern Indian Ocean; SLP; polar vortex</t>
  </si>
  <si>
    <t>EXTRATROPICAL CYCLONE BEHAVIOR; DOME ICE CORE; ATMOSPHERIC CIRCULATION; LAW DOME; SURFACE TEMPERATURES; CLIMATE; HEMISPHERE; REANALYSIS; SECTOR; OSCILLATION</t>
  </si>
  <si>
    <t>[1] A 250-year, high-resolution, multivariate ice core record from LGB65 (70degrees50'07S, 77degrees04'29E; 1850 m asl), Princess Elizabeth Land (PEL), is used to investigate sea level pressure (SLP) variability over the southern Indian Ocean (SIO). Empirical orthogonal function (EOF) analysis reveals that the first EOF (EOF1) of the glaciochemical record from LGB65 represents most of the variability in sea salt throughout the 250-year record. EOF1 is negatively correlated (95% confidence level and higher) to instrumental mean sea level pressure (MSLP) at Kerguelen and New Amsterdam islands, SIO. On the basis of comparison with NCEP/NCAR reanalysis, strong correlations were found between sea-salt variations and a quasi-stationary low that lies to the north of Prydz Bay, SIO. Comparison with a 250-year-long summer transpolar index (STPI) inferred from sub-Antarctic tree ring records reveals strong coherency. Decadal-scale SLP variability over SIO suggests shifting of the polar vortex. Prominent decadal-scale deepening of the southern Indian Ocean low (SIOL) exists circa 1790, 1810, 1835, 1860, 1880, 1900, and 1940 A. D., continuously after the 1970s, and prominent weakening circa 1750, 1795, 1825, 1850, 1870, 1890, 1910, and 1955 A. D. The LGB65 sea-salt record is characterized by significant decadal-scale variability with a strong similar to21-year periodic structure (99.9% confidence level). The relationship between LGB65 sea salt and solar irradiance changes shows that this periodicity is possibly the solar Hale cycle ( 22 years).</t>
  </si>
  <si>
    <t>Chinese Acad Meteorol Sci, Beijing 100081, Peoples R China; Chinese Acad Sci, Cold &amp; Arid Reg Environm &amp; Engn Res Inst, Lanzhou 730000, Peoples R China; Univ Maine, Climate Change Inst, Orono, ME 04469 USA</t>
  </si>
  <si>
    <t>China Meteorological Administration; Chinese Academy of Meteorological Sciences (CAMS); Chinese Academy of Sciences; Cold &amp; Arid Regions Environmental &amp; Engineering Research Institute, CAS; University of Maine System; University of Maine Orono</t>
  </si>
  <si>
    <t>Chinese Acad Meteorol Sci, Beijing 100081, Peoples R China.</t>
  </si>
  <si>
    <t>cdxiao@cams.cma.gov.cn</t>
  </si>
  <si>
    <t>Mayewski, Paul Andrew/HRD-6969-2023</t>
  </si>
  <si>
    <t>AUG 20</t>
  </si>
  <si>
    <t>D16101</t>
  </si>
  <si>
    <t>10.1029/2003JD004065</t>
  </si>
  <si>
    <t>849NU</t>
  </si>
  <si>
    <t>WOS:000223546300002</t>
  </si>
  <si>
    <t>Knutti, R; Flückiger, J; Stocker, TF; Timmermann, A</t>
  </si>
  <si>
    <t>Strong hemispheric coupling of glacial climate through freshwater discharge and ocean circulation</t>
  </si>
  <si>
    <t>MIXED BOUNDARY-CONDITIONS; THERMOHALINE CIRCULATION; RAPID CHANGES; SCALE; ATLANTIC; ANTARCTICA; GREENLAND; TEMPERATURE; INSTABILITY; FLUCTUATIONS</t>
  </si>
  <si>
    <t>The climate of the last glacial period was extremely variable, characterized by abrupt warming events in the Northern Hemisphere, accompanied by slower temperature changes in Antarctica and variations of global sea level. It is generally accepted that this millennial-scale climate variability was caused by abrupt changes in the ocean thermohaline circulation. Here we use a coupled ocean-atmosphere-sea ice model to show that freshwater discharge into the North Atlantic Ocean, in addition to a reduction of the thermohaline circulation, has a direct effect on Southern Ocean temperature. The related anomalous oceanic southward heat transport arises from a zonal density gradient in the subtropical North Atlantic caused by a fast wave-adjustment process. We present an extended and quantitative bipolar seesaw concept that explains the timing and amplitude of Greenland and Antarctic temperature changes, the slow changes in Antarctic temperature and its similarity to sea level, as well as a possible time lag of sea level with respect to Antarctic temperature during Marine Isotope Stage 3.</t>
  </si>
  <si>
    <t>Univ Bern, Inst Phys, CH-3012 Bern, Switzerland; Leibniz Inst Meereswissensch, IFM, GEOMAR, D-24105 Kiel, Germany</t>
  </si>
  <si>
    <t>University of Bern; Helmholtz Association; GEOMAR Helmholtz Center for Ocean Research Kiel</t>
  </si>
  <si>
    <t>Univ Bern, Inst Phys, Sidlerstr 5, CH-3012 Bern, Switzerland.</t>
  </si>
  <si>
    <t>knutti@climate.unibe.ch</t>
  </si>
  <si>
    <t>Stocker, Thomas F/B-1273-2013; Fluckiger, Jacqueline/G-3457-2011; Knutti, Reto/B-8763-2008; Timmermann, Axel/Y-2799-2019</t>
  </si>
  <si>
    <t>Knutti, Reto/0000-0001-8303-6700; Timmermann, Axel/0000-0003-0657-2969</t>
  </si>
  <si>
    <t>AUG 19</t>
  </si>
  <si>
    <t>10.1038/nature02786</t>
  </si>
  <si>
    <t>847DA</t>
  </si>
  <si>
    <t>WOS:000223369800032</t>
  </si>
  <si>
    <t>Hayward, BW; Sabaa, A; Grenfell, HR</t>
  </si>
  <si>
    <t>Benthic foraminifera and the late quaternary (last 150 ka) paleoceanographic and sedimentary history of the Bounty Trough, east of New Zealand</t>
  </si>
  <si>
    <t>southwest pacific; late quaternary; paleoceanography; New Zealand; benthic foraminifera; Bounty Trough</t>
  </si>
  <si>
    <t>SOUTHWEST PACIFIC-OCEAN; SOUTHEASTERN NEW-ZEALAND; SEA DRILLING PROJECT; SOUTHERN INDIAN-OCEAN; DSDP-SITE 594; CHATHAM RISE; SURFACE TEMPERATURE; SUBTROPICAL FRONT; AUSTRAL WINTER; ORGANIC-MATTER</t>
  </si>
  <si>
    <t>The Bounty Trough, east of New Zealand, lies along the southeastern edge of the present-day Subtropical Front (STF), and is a major conduit via the Bounty Channel, for terrigenous sediment supply from the uplifted Southern Alps to the abyssal Bounty Fan. Census data on 65 benthic foraminiferal faunas (&gt;63 mum) from upper bathyal (ODP 1119), lower bathyal (DSDP 594) and abyssal (ODP 1122) sequences, test and refine existing models for the paleoceanographic and sedimentary history of the trough through the last 150 ka (marine isotope stages, MIS 6-1). Cluster analysis allows recognition of six species groups, whose distribution patterns coincide with bathymetry, the climate cycles and displaced turbidite beds. Detrended canonical correspondence analysis and comparisons with modern faunal patterns suggest that the groups are most strongly influenced by food supply (organic carbon flux), and to a lesser extent by bottom water oxygen and factors relating to sediment type. Major faunal changes at upper bathyal depths (1119) probably resulted from cycles of counter-intuitive seaward-landward 66 migrations of the Southland Front (SF) (north-south sector of the STF). Benthic foraminiferal changes suggest that lower nutrient, cool Subantarctic Surface Water (SAW) was overhead in warm intervals, and higher nutrient-bearing, warm neritic Subtropical Surface Water (STW) was overhead in cold intervals. At lower bathyal depths (594), foraminiferal changes indicate increased glacial productivity and lowered bottom oxygen, attributed to increased upwelling and inflow of cold, nutrient-rich, Antarctic Intermediate Water (AAIW) and shallowing of the oxygen-minimum zone (upper Circum Polar Deep Water, CPDW). The observed cyclical benthic foraminiferal changes are not a result of associations migrating up and down the slope, as glacial faunas (dominated by Globocassidulina canalisuturata and Eilohedra levicula at upper and lower bathyal depths, respectively) are markedly different from those currently living in the Bounty Trough. On the abyssal Bounty Fan (1122), faunal changes correlate most strongly with grain size, and are attributed to varying amounts of mixing of displaced and in-situ faunas. Most of the displaced foraminifera in turbiditic sand beds are sourced from mid-outer shelf depths at the head of the Bounty Channel. Turbidity currents were more prevalent during, but not restricted to, glacial intervals. (C) 2004 Elsevier B.V. All rights reserved.</t>
  </si>
  <si>
    <t>Univ Auckland, Dept Geol, Auckland, New Zealand</t>
  </si>
  <si>
    <t>University of Auckland</t>
  </si>
  <si>
    <t>Geomarine Res, 49 Swaiston Rd,St Johns, Auckland, New Zealand.</t>
  </si>
  <si>
    <t>b.hayward@geomarine.org.nz</t>
  </si>
  <si>
    <t>HAYWARD, BRUCE W/AAG-2597-2019</t>
  </si>
  <si>
    <t>Hayward, Bruce W./0000-0003-1302-7686</t>
  </si>
  <si>
    <t>10.1016/j.palaeo.2004.04.007</t>
  </si>
  <si>
    <t>849GY</t>
  </si>
  <si>
    <t>WOS:000223527900004</t>
  </si>
  <si>
    <t>Nishii, K; Nakamura, H</t>
  </si>
  <si>
    <t>Tropospheric influence on the diminished Antarctic ozone hole in September 2002</t>
  </si>
  <si>
    <t>SOUTHERN-HEMISPHERE; WINTER; BLOCKING; PACIFIC; PROPAGATION; STATIONARY; FLOW</t>
  </si>
  <si>
    <t>In late September of 2002, the first recorded major sudden stratospheric warming occurred over Antarctica, leading to sudden breakdown of the cold polar vortex and the collapse of the ozone hole. Our diagnosis reveals that the warming was associated with propagation of a Rossby wavepacket from a prominent tropospheric blocking ridge over the South Atlantic into the stratospheric polar-night jet that had already weakened unusually. The blocking developed from anomalies that had formed as a component of another Rossby wavetrain that appeared to be forced in mid-September by anomalous deep cumulus convection in the South Pacific Convergence Zone.</t>
  </si>
  <si>
    <t>Univ Tokyo, Grad Sch Sci, Dept Earth &amp; Planetary Sci, Tokyo 1130033, Japan; Frontier Res Ctr Global Change, Yokohama, Kanagawa, Japan</t>
  </si>
  <si>
    <t>University of Tokyo; Japan Agency for Marine-Earth Science &amp; Technology (JAMSTEC)</t>
  </si>
  <si>
    <t>Univ Tokyo, Grad Sch Sci, Dept Earth &amp; Planetary Sci, Tokyo 1130033, Japan.</t>
  </si>
  <si>
    <t>hisashi@eps.s.u-tokyo.ac.jp</t>
  </si>
  <si>
    <t>AUG 18</t>
  </si>
  <si>
    <t>L16103</t>
  </si>
  <si>
    <t>10.1029/2004GL019532</t>
  </si>
  <si>
    <t>849MY</t>
  </si>
  <si>
    <t>WOS:000223544100001</t>
  </si>
  <si>
    <t>Ratnam, MV; Tsuda, T; Jacobi, C; Aoyama, Y</t>
  </si>
  <si>
    <t>Enhancement of gravity wave activity observed during a major Southern Hemisphere stratospheric warming by CHAMP/GPS measurements</t>
  </si>
  <si>
    <t>stratospheric warming; gravity waves; middle atmospheric dynamics</t>
  </si>
  <si>
    <t>ANTARCTIC WINTER; TOTAL OZONE</t>
  </si>
  <si>
    <t>Using temperature profiles measured by CHAMP/GPS occultations we analyzed the gravity wave activity during the major sudden stratospheric warming (SSW) occurred in the Southern Hemisphere (SH) in late winter/spring of 2002, which for the first time split the polar vortex into two parts. The observed temperatures show a rapid poleward moving increase with a maximum of about 25 - 30 K with respect to the undisturbed winter conditions, and a reversal of the latitudinal gradients at 30 km and below within 15 days ( September 15 - 30). During this time gravity wave energy ( potential energy, Ep) became 3 times higher than usual. This enhancement mostly occurred near the edge and outside the cold polar vortex, but not inside the vortex. We discuss the observed event with potential interaction of gravity waves, planetary waves and the mean circulation during the stratospheric warming.</t>
  </si>
  <si>
    <t>Kyoto Univ, Res Ctr Sustainable Humanosphere RISH, Kyoto 6110011, Japan; Univ Leipzig, Inst Meteorol, D-04103 Leipzig, Germany</t>
  </si>
  <si>
    <t>Kyoto University; Leipzig University</t>
  </si>
  <si>
    <t>Ratnam, MV (corresponding author), Kyoto Univ, Res Ctr Sustainable Humanosphere RISH, Kyoto 6110011, Japan.</t>
  </si>
  <si>
    <t>tsuda@kurasc.kyoto-u.ac.jp</t>
  </si>
  <si>
    <t>Venkat Ratnam, Madineni/AFW-0936-2022; tsuda, toshitaka/A-3035-2015; Tsuda, Toshitaka/GYJ-4925-2022</t>
  </si>
  <si>
    <t>Venkat Ratnam, M./0000-0002-3882-2523</t>
  </si>
  <si>
    <t>AUG 17</t>
  </si>
  <si>
    <t>L16101</t>
  </si>
  <si>
    <t>10.1029/2004GL019789</t>
  </si>
  <si>
    <t>849MW</t>
  </si>
  <si>
    <t>WOS:000223543900002</t>
  </si>
  <si>
    <t>Saborowski, R; Sahling, G; del Toro, MAN; Walter, I; García-Carreño, FL</t>
  </si>
  <si>
    <t>Stability and effects of organic solvents on endopeptidases from the gastric fluid of the marine crab Cancer pagurus</t>
  </si>
  <si>
    <t>JOURNAL OF MOLECULAR CATALYSIS B-ENZYMATIC</t>
  </si>
  <si>
    <t>endopeptidases; gastric fluid; stability; organic solvents; Cancer pagurus</t>
  </si>
  <si>
    <t>PROTEOLYTIC-ENZYMES; ANTARCTIC KRILL; DIGESTIVE PROTEINASES; PURIFICATION; DECAPODA; HEPATOPANCREAS; EMULSIFIERS; DEBRIDEMENT; CRAYFISH; PROTEASE</t>
  </si>
  <si>
    <t>Activities of proteolytic enzymes, represented by azocasein digestion (total protease), trypsin, and chymotrypsin from the gastric fluid of the marine crab, Cancer pagurus, were evaluated for operational parameters like pH-optimum, thermal stability, and effectors such as metal ions and organic solvents. Total protease activity was 98.5 +/- 4.3 E-366 min(-1) ml(-1). Trypsin and chymotrypsin activities amounted to 14.7 +/- 1.5 U ml(-1) and 197 59 U ml(-1), respectively. The maximum activity of total protease appeared at pH 5-7, that of trypsin at pH 7-9, and that of chymotrypsin at pH 6.5-7. Trypsin and chymotrypsin activities were slightly activated by Ca+, but were drastically reduced by Zn2+. In the presence of 2-propanol, trypsin activity was enhanced 8-fold at 30degreesC. Highest amplification of activity of up to 30-fold, however, appeared below 12degreesC. The effects of ethanol and acetone were less distinct. These caused a 2.5-fold increase of activity. Methanol was the least activating solvent. Activities of all enzymes remained stable for up to 127 days at 5degreesC, keeping up to 70% of the initial activity. When stored at 25degreesC for 120 days, total protease decreased to about 40% and trypsin and chymotrypsin activities kept more than 60% of initial activity. Zymograms showed five major and several minor proteolytic bands with apparent molecular weight of 20-45 kDa. After long-term storage at room temperature, the major bands remained active, while some bands with minor activity disappeared. This proteolytic enzyme preparation from the gastric fluid of crab seems suitable for biotechnological application at neutral pH and in the presence of organic solvents. (C) 2004 Elsevier B.V. All rights reserved.</t>
  </si>
  <si>
    <t>Alfred Wegener Inst Polar &amp; Marine Res, Marine Stn, D-27498 Helgoland, Germany; Ctr Invest Biol Noroeste, La Paz 23090, Bolivia</t>
  </si>
  <si>
    <t>Helmholtz Association; Alfred Wegener Institute, Helmholtz Centre for Polar &amp; Marine Research; CIBNOR - Centro de Investigaciones Biologicas del Noroeste</t>
  </si>
  <si>
    <t>Alfred Wegener Inst Polar &amp; Marine Res, Marine Stn, D-27498 Helgoland, Germany.</t>
  </si>
  <si>
    <t>rsaborowski@awi-bremerhaven.de</t>
  </si>
  <si>
    <t>Garcia-Carreno, Fernando/0000-0001-7623-1030; Saborowski, Reinhard/0000-0003-0289-6501</t>
  </si>
  <si>
    <t>1381-1177</t>
  </si>
  <si>
    <t>1873-3158</t>
  </si>
  <si>
    <t>J MOL CATAL B-ENZYM</t>
  </si>
  <si>
    <t>J. Mol. Catal. B-Enzym.</t>
  </si>
  <si>
    <t>AUG 16</t>
  </si>
  <si>
    <t>10.1016/j.molcatb.2004.04.002</t>
  </si>
  <si>
    <t>Biochemistry &amp; Molecular Biology; Chemistry, Physical</t>
  </si>
  <si>
    <t>843ZG</t>
  </si>
  <si>
    <t>WOS:000223126000002</t>
  </si>
  <si>
    <t>Liu, YH; Key, JR; Frey, RA; Ackerman, SA; Menzel, WP</t>
  </si>
  <si>
    <t>Nighttime polar cloud detection with MODIS</t>
  </si>
  <si>
    <t>polar; cloud detection; MODIS</t>
  </si>
  <si>
    <t>AVHRR DATA; TEXTURAL FEATURES; COVER ANALYSIS; ARCTIC CLOUD; CLEAR-SKY; CLASSIFICATION; ISCCP; TEMPERATURE; RADIANCES; PRODUCTS</t>
  </si>
  <si>
    <t>Cloud detection is the first step in studying the role of polar clouds in the global climate system with satellite data. In this paper, the cloud detection algorithm for the Moderate Resolution Imaging Spectrometer (MODIS) is evaluated with model simulations and satellite data collocated with radar/lidar observations at three Arctic and Antarctic stations. Results show that the current MODIS cloud mask algorithm performs well in polar regions during the day but does not detect more than 40% of the cloud cover over the validation sights at night. Two new cloud tests utilizing the 7.2 mum water vapor and 14.2 mum carbon dioxide bands, one new clear-sky test using the 7.2 mum band, and changes to the thresholds of several other tests are described. With the new cloud detection procedure, the misidentification of cloud as clear decreases from 44.2% to 16.3% at the two Arctic stations, and from 19.8% to 2.7% at the Antarctic station. (C) 2004 Elsevier Inc. All rights reserved.</t>
  </si>
  <si>
    <t>Univ Wisconsin, Dept AOS, Cooperat Inst Meteorol Satellite Studies, Madison, WI 53706 USA; NOAA, NESDIS, Off Res &amp; Applicat, Madison, WI USA</t>
  </si>
  <si>
    <t>University of Wisconsin System; University of Wisconsin Madison; National Oceanic Atmospheric Admin (NOAA) - USA</t>
  </si>
  <si>
    <t>Univ Wisconsin, Dept AOS, Cooperat Inst Meteorol Satellite Studies, 1225 W Dayton St, Madison, WI 53706 USA.</t>
  </si>
  <si>
    <t>yinghuil@ssec.wisc.edu</t>
  </si>
  <si>
    <t>Key, Jeffrey R./AAB-7248-2020; Menzel, W. Paul/B-8306-2011; Ackerman, Steven/G-1640-2011</t>
  </si>
  <si>
    <t>Menzel, W. Paul/0000-0001-5690-1201; Ackerman, Steven/0000-0002-4476-0269</t>
  </si>
  <si>
    <t>AUG 15</t>
  </si>
  <si>
    <t>10.1016/j.rse.2004.06.004</t>
  </si>
  <si>
    <t>849VC</t>
  </si>
  <si>
    <t>WOS:000223568200005</t>
  </si>
  <si>
    <t>Bertler, NAN; Barrett, PJ; Mayewski, PA; Fogt, RL; Kreutz, KJ; Shulmeister, J</t>
  </si>
  <si>
    <t>El Nino suppresses Antarctic warming</t>
  </si>
  <si>
    <t>ENSO-RELATED VARIABILITY; SOUTHERN-HEMISPHERE; TEMPERATURE; CLIMATE; OCEAN; SEA; OSCILLATION</t>
  </si>
  <si>
    <t>Here we present new isotope records derived from snow samples from the McMurdo Dry Valleys, Antarctica and re-analysis data of the European Centre for Medium-Range Weather Forecasts (ERA-40) to explain the connection between the warming of the Pacific sector of the Southern Ocean [Jacka and Budd, 1998; Jacobs et al., 2002] and the current cooling of the terrestrial Ross Sea region [Doran et al., 2002a]. Our analysis confirms previous findings that the warming is linked to the El Nino Southern Oscillation (ENSO) [Kwok and Comiso, 2002a, 2002b; Carleton, 2003; Ribera and Mann, 2003; Turner, 2004], and provides new evidence that the terrestrial cooling is caused by a simultaneous ENSO driven change in atmospheric circulation, sourced in the Amundsen Sea and West Antarctica.</t>
  </si>
  <si>
    <t>Univ Victoria, Antarctic Res Ctr, Wellington 6001, New Zealand; Inst Geol &amp; Nucl Sci, Lower Hutt, New Zealand; Univ Maine, Edward T Bryand Global Sci Ctr, Climate Change Inst, Orono, ME USA; Ohio State Univ, Byrd Polar Res Ctr, Columbus, OH 43210 USA; Univ Canterbury, Dept Geol Sci, Christchurch 1, New Zealand</t>
  </si>
  <si>
    <t>Victoria University Wellington; GNS Science - New Zealand; University of Maine System; University of Maine Orono; University System of Ohio; Ohio State University; University of Canterbury</t>
  </si>
  <si>
    <t>Univ Victoria, Antarctic Res Ctr, POB 600, Wellington 6001, New Zealand.</t>
  </si>
  <si>
    <t>nancy.bertler@vuw.nz</t>
  </si>
  <si>
    <t>Mayewski, Paul Andrew/HRD-6969-2023; Bertler, Nancy A N/F-3967-2011; Fogt, Ryan L/B-6989-2008; shulmeister, james/J-2859-2015</t>
  </si>
  <si>
    <t>Fogt, Ryan L/0000-0002-5398-3990; shulmeister, james/0000-0001-5863-9462; Bertler, Nancy/0000-0001-6028-4891</t>
  </si>
  <si>
    <t>AUG 14</t>
  </si>
  <si>
    <t>L15207</t>
  </si>
  <si>
    <t>10.1029/2004GL020749</t>
  </si>
  <si>
    <t>846UO</t>
  </si>
  <si>
    <t>WOS:000223342600007</t>
  </si>
  <si>
    <t>Ivchenko, VO; Zalesny, VB; Drinkwater, MR</t>
  </si>
  <si>
    <t>Can the equatorial ocean quickly respond to Antarctic sea ice/salinity anomalies?</t>
  </si>
  <si>
    <t>SOUTHERN-OSCILLATION; CIRCUMPOLAR WAVE; WEDDELL SEA; ICE EXTENT; VARIABILITY; DYNAMICS; CLIMATE</t>
  </si>
  <si>
    <t>El Nino Southern Oscillation (ENSO) plays a critical role in many of the extremes or anomalies of climate, causing floods, droughts and the collapse of fisheries. Recent studies have revealed a statistically-significant link between equatorial processes and sea-ice anomalies in the Southern Ocean. The generally accepted view is that the primary interaction of the equatorial and polar oceans takes place via the atmosphere. Indeed, the lag in these processes is usually of the order of a few months, and is much too quick to be connected with ocean currents. The question is: can climate anomaly signals effectively and rapidly propagate by another oceanic mechanism? It is demonstrated that signals generated by anomalies in the Antarctic sea-ice cover/salinity distribution can propagate in a wave-like manner in the form of fast-moving barotropic Rossby waves. Such waves propagates from the Drake Passage to the western Pacific in only few days. This signal is reflected at the western boundary of the Pacific and generates an coastally trapped Kelvin wave moving equatorwards. The resulting temperature anomaly propagates northwards along the western coastline to the vicinity of the equator and increases in amplitude in time. The anomaly in the western edge of the equatorial Pacific then begins to move eastward along the equator as a trapped equatorial wave. After about 2-3 months this wave reaches the eastern coast. This process is suggested as one possible direct mechanism by which the extra-tropical ocean can induce anomalies in the equatorial ocean.</t>
  </si>
  <si>
    <t>Southampton Oceanog Ctr, Southampton, Hants, England; Inst Numer Math, Moscow 119991, Russia; European Space Agcy, European Space Res &amp; Technol Ctr, NL-2200 AG Noordwijk, Netherlands</t>
  </si>
  <si>
    <t>University of Southampton; NERC National Oceanography Centre; European Space Agency</t>
  </si>
  <si>
    <t>Ivchenko, VO (corresponding author), Southampton Oceanog Ctr, European Way, Southampton, Hants, England.</t>
  </si>
  <si>
    <t>voi@soc.soton.ac.uk</t>
  </si>
  <si>
    <t>Drinkwater, Mark/C-2478-2011</t>
  </si>
  <si>
    <t>Drinkwater, Mark/0000-0002-9250-3806</t>
  </si>
  <si>
    <t>AUG 12</t>
  </si>
  <si>
    <t>L15310</t>
  </si>
  <si>
    <t>10.1029/2004GL020472</t>
  </si>
  <si>
    <t>846UM</t>
  </si>
  <si>
    <t>WOS:000223342400004</t>
  </si>
  <si>
    <t>Pepper, AC; Shulmeister, J; Nobes, DC; Augustinus, PA</t>
  </si>
  <si>
    <t>Possible ENSO signals prior to the Last Glacial Maximum, during the last deglaciation and the early Holocene, from New Zealand</t>
  </si>
  <si>
    <t>CLIMATE; OSCILLATION; VARIABILITY; PALEOCLIMATE; AUCKLAND; RECORD; TEPHRA; AGE; BP</t>
  </si>
  <si>
    <t>Annually laminated lake sediments from a maar crater in Auckland, New Zealand, were analyzed spectrally for three time slices: just prior to the last glacial maximum (LGM), during the deglaciation and during the early Holocene. Strong spectral power in 2-7 year, 9-30 year and a centennial (80-120 year) timescale prior to the LGM and during two brief intervals in the deglaciation contrasts with virtually no spectral power during the rest of the deglaciation and during the early Holocene. The Antarctic Cold Reversal (ACR)appears to be the younger deglacial event. The results indicate that El Nino Southern Oscillation (ENSO) and possibly the Inter-decadal Pacific Oscillation (IPO), operated in a modern mode prior to the LGM, pulsed on and off during the deglaciation and were suppressed or absent from northern New Zealand during the early Holocene. The ACR was a period of enhanced southwesterly flow over northern New Zealand.</t>
  </si>
  <si>
    <t>Univ Canterbury, Dept Geol Sci, Christchurch 8020, New Zealand; Univ Auckland, Dept Geol &amp; Geog, Auckland 1, New Zealand</t>
  </si>
  <si>
    <t>University of Canterbury; University of Auckland</t>
  </si>
  <si>
    <t>Univ Canterbury, Dept Geol Sci, Private Bag 4800, Christchurch 8020, New Zealand.</t>
  </si>
  <si>
    <t>james.shulmeister@canterbury.ac.nz</t>
  </si>
  <si>
    <t>Nobes, David/AAC-6539-2021; Augustinus, Paul/B-5125-2011; shulmeister, james/J-2859-2015</t>
  </si>
  <si>
    <t>shulmeister, james/0000-0001-5863-9462; Nobes, David/0000-0002-0344-7890</t>
  </si>
  <si>
    <t>AUG 11</t>
  </si>
  <si>
    <t>L15206</t>
  </si>
  <si>
    <t>10.1029/2004GL020236</t>
  </si>
  <si>
    <t>846UL</t>
  </si>
  <si>
    <t>WOS:000223342300005</t>
  </si>
  <si>
    <t>Wilding, MC; Smellie, JL; Morgan, S; Lesher, CE; Wilson, L</t>
  </si>
  <si>
    <t>Cooling process recorded in subglacially erupted rhyolite glasses: Rapid quenching, thermal buffering, and the formation of meltwater</t>
  </si>
  <si>
    <t>cooling; glass; relaxation</t>
  </si>
  <si>
    <t>STRUCTURAL RELAXATION; TEMPERATURE; TRANSITION; VOLCANISM; ALBITE; GEOSPEEDOMETRY; DEPENDENCE; BLAHNUKUR; TENERIFE; PRODUCTS</t>
  </si>
  <si>
    <t>The thermal histories of two subglacial rhyolite glasses from Torfajokull complex of south central Iceland have been determined from changes in the relaxation of enthalpy in the calorimetric glass transition interval. Heat capacity measurements of bulk glass samples from Raudufossafjoll (sample number JS.1.1) and Blahnukur (sample number JS.2.1) by differential scanning calorimetry show marked differences in the temperature of the onset of glass transition (Tg) on reheating. The average Tg is 750 K for JS.1.1, whereas it is 850 K for JS.2.1. These differences in the onset of Tg are related to quench rate through considerations of the activation energy and timescales for structural relaxation modeled, using the Kohlrausch-Williams-Watt function. Multiple glass samples from the two Torfajokull locations recover different average values and distributions of a fictive temperature, T-f, which we interpret in terms of differences in the thermal histories of the glasses. In both glass samples the range of fictive temperatures and, by implication, apparent cooling rates, is lower than those estimated for a glass rapidly quenched by contact with cold (glacial melt) water and requires that the glass was annealed at temperatures in the glass transition interval associated with relaxation times of the order of 1000-10,000 s. The complex cooling histories of the Torfajokull samples show that the products of subglacial eruptions may be held at elevated temperatures for several hours and, as a result, may drive vigorous convection in the ice-bound vaults above erupting rhyolite deposits.</t>
  </si>
  <si>
    <t>Univ Calif Davis, Dept Geol, Davis, CA 95616 USA; British Antarctic Survey, Cambridge CB3 0ET, England; Univ Leeds, Sch Earth Sci, Leeds LS2 9JT, W Yorkshire, England; Univ Lancaster, Inst Environm &amp; Nat Sci, Dept Environm Sci, Lancaster LA1 4YQ, England</t>
  </si>
  <si>
    <t>University of California System; University of California Davis; UK Research &amp; Innovation (UKRI); Natural Environment Research Council (NERC); NERC British Antarctic Survey; University of Leeds; Lancaster University</t>
  </si>
  <si>
    <t>Wilding, MC (corresponding author), Univ Calif Davis, Dept Geol, Room 4440,1 Shields Ave, Davis, CA 95616 USA.</t>
  </si>
  <si>
    <t>mcwilding@ucdavis.edu; jlsm@bas.ac.uk; enquiries@earth.leeds.ac.uk; lesher@geology.ucdavis.edu; L.Wilson@lancaster.ac.uk</t>
  </si>
  <si>
    <t>Lesher, Charles E/A-2468-2015; Morgan, Sally/F-9496-2019</t>
  </si>
  <si>
    <t>Lesher, Charles E/0000-0003-4033-4809; Wilding, Martin/0000-0002-0802-0423; Morgan, Sally/0000-0001-7601-3551</t>
  </si>
  <si>
    <t>B8</t>
  </si>
  <si>
    <t>B08201</t>
  </si>
  <si>
    <t>10.1029/2003JB002721</t>
  </si>
  <si>
    <t>846VF</t>
  </si>
  <si>
    <t>WOS:000223345200002</t>
  </si>
  <si>
    <t>Wadhams, P; Parmiggiani, FF; de Carolis, G; Desiderio, D; Doble, MJ</t>
  </si>
  <si>
    <t>SAR imaging of wave dispersion in Antarctic pancake ice and its use in measuring ice thickness</t>
  </si>
  <si>
    <t>SYNTHETIC-APERTURE RADAR; SPECTRA; INVERSION; RETRIEVAL; ALGORITHM; FRAZIL</t>
  </si>
  <si>
    <t>A synthetic aperture radar (SAR) image of the advancing winter marginal ice zone (MIZ) in the Antarctic, composed of frazil-pancake ice, has been analysed in a new way in order to test the predictions of a recently developed theory of wave dispersion in pancake ice which treats the ice as a viscous layer. In the image, obtained in April 2000, the structure of the wave spectrum in the MIZ and its change from the open-water spectrum are consistent with a pancake layer 24 cm thick. Intensive in situ measurements of the pancake ice in the MIZ 280 km W of the image location were made from FS Polarstern during a period covering the satellite imaging, and also yielded a mean ice thickness of 24 cm. We conclude that this technique gives realistic results for ice thickness, whereas earlier work based on a different dispersion theory (mass loading) tended to over-estimate thickness. After further validation, it is therefore possible that the SAR wave technique can become an accepted method for monitoring ice thickness in pancake icefields.</t>
  </si>
  <si>
    <t>Univ Cambridge, Dept Appl Math &amp; Theoret Phys, Cambridge CB3 9EW, England; Scottish Assoc Marine Sci, Dunstaffnage Marine Lab, Oban PA37 1QA, Argyll, Scotland; CNR, ISAC, I-40129 Bologna, Italy; CNR, ISSIA, I-70126 Bari, Italy; Carlo Gavazzi Space SpA, I-20151 Milan, Italy</t>
  </si>
  <si>
    <t>University of Cambridge; UHI Millennium Institute; Consiglio Nazionale delle Ricerche (CNR); Istituto di Scienze dell'Atmosfera e del Clima (ISAC-CNR); Consiglio Nazionale delle Ricerche (CNR); Istituto di Studi sui Sistemi Intelligenti per l'Automazione (ISSIA-CNR)</t>
  </si>
  <si>
    <t>Wadhams, P (corresponding author), Univ Cambridge, Dept Appl Math &amp; Theoret Phys, Silver St, Cambridge CB3 9EW, England.</t>
  </si>
  <si>
    <t>p.wadhams@sams.ac.uk</t>
  </si>
  <si>
    <t>Doble, Martin J/A-9915-2012; De+Carolis, Giacomo/AAW-8826-2020</t>
  </si>
  <si>
    <t>De+Carolis, Giacomo/0000-0002-0523-9446; Doble, Martin/0000-0001-8185-6510</t>
  </si>
  <si>
    <t>AUG 7</t>
  </si>
  <si>
    <t>L15305</t>
  </si>
  <si>
    <t>10.1029/2004GL020340</t>
  </si>
  <si>
    <t>846SD</t>
  </si>
  <si>
    <t>WOS:000223335600006</t>
  </si>
  <si>
    <t>Santee, ML; Manney, GL; Livesey, NJ; Read, WG</t>
  </si>
  <si>
    <t>Three-dimensional structure and evolution of stratospheric HNO3 based on UARS Microwave Limb Sounder measurements -: art. no. D15306</t>
  </si>
  <si>
    <t>Microwave Limb Sounder (MLS); Upper Atmosphere Research Satellite (UARS); nitric acid (HNO3); denitrification; polar processes; stratospheric chemistry</t>
  </si>
  <si>
    <t>CRYOGENIC INFRARED SPECTROMETERS; WAVE SPECTROSCOPIC MEASUREMENTS; ATMOSPHERE RESEARCH SATELLITE; POLAR VORTEX; POAM-II; MIDDLE ATMOSPHERE; MILLIMETER-WAVE; NITRIC-ACID; SAGE-II; MODEL-CALCULATIONS</t>
  </si>
  <si>
    <t>The Upper Atmosphere Research Satellite (UARS) Microwave Limb Sounder (MLS) measured the global distribution of stratospheric HNO3 through more than seven complete annual cycles in both hemispheres. Here we present an overview of the seasonal, interhemispheric, and interannual variations in the distribution of HNO3 throughout the lower and middle stratosphere from 420 to 960 K potential temperature based on the UARS MLS version 6 HNO3 measurements. The version 6 MLS data have much better precision and a larger vertical range than previous MLS HNO3 data sets and have also been corrected to account for an oversight in the retrieval algorithms that led earlier versions to overestimate HNO3 abundances by as much as 35% at some levels in the stratosphere. HNO3 exhibits little vertical, seasonal, or interannual variability in the tropics. For the first similar to1.5 years of the mission, however, a persistent enhancement is seen at low and middle latitudes that we attribute to perturbations in reactive nitrogen chemistry under conditions of high aerosol loading from the eruption of Mount Pinatubo. The signature of Pinatubo-induced HNO3 enhancement is considerably weaker at 420 and 465 K than it is at higher altitudes, and it is also considerably weaker at northern middle and high latitudes than it is in the Southern Hemisphere. HNO3 abundances increase toward the pole in both hemispheres at all levels and in all seasons, with the exception of the severely denitrified region inside the Antarctic vortex. A pronounced seasonal cycle is present at middle and high latitudes up to at least 960 K (similar to34 km), with a winter maximum and a summer minimum. Large interannual variability in the timing, magnitude, and duration of enhanced wintertime HNO3 abundances is seen in both hemispheres. Even in the coldest Arctic winters, HNO3 depletion is modest and limited in both horizontal and vertical extent. In contrast, virtually complete removal of gas-phase HNO3 occurs at the highest southern latitudes by July in every year throughout the lower stratosphere. Indications of denitrification are present up to at least 740 K, well above the highest altitude at which dehydration is observed, providing further evidence that denitrification can proceed in the absence of dehydration.</t>
  </si>
  <si>
    <t>CALTECH, Jet Prop Lab, Pasadena, CA 91109 USA; New Mexico Highlands Univ, Dept Nat Sci, Las Vegas, NM 87701 USA</t>
  </si>
  <si>
    <t>California Institute of Technology; National Aeronautics &amp; Space Administration (NASA); NASA Jet Propulsion Laboratory (JPL)</t>
  </si>
  <si>
    <t>Santee, ML (corresponding author), CALTECH, Jet Prop Lab, Mail Stop 183-701,4800 Oak Grove Dr, Pasadena, CA 91109 USA.</t>
  </si>
  <si>
    <t>mls@mls.jpl.nasa.gov</t>
  </si>
  <si>
    <t>Santee, MIchelle/R-5762-2019; read, william/AAL-1895-2021; Livesey, Nathaniel/AGQ-7257-2022; Manney, Gloria/JED-7207-2023</t>
  </si>
  <si>
    <t>D15</t>
  </si>
  <si>
    <t>D15306</t>
  </si>
  <si>
    <t>10.1029/2004JD004578</t>
  </si>
  <si>
    <t>846SM</t>
  </si>
  <si>
    <t>WOS:000223336600005</t>
  </si>
  <si>
    <t>Hall, ME; Nasir, L; Daunt, F; Gault, EA; Croxall, JP; Wanless, S; Monaghan, P</t>
  </si>
  <si>
    <t>Telomere loss in relation to age and early environment in long-lived birds</t>
  </si>
  <si>
    <t>ageing; early growth conditions; lifespan; longitudinal studies; senescence</t>
  </si>
  <si>
    <t>SHAGS PHALACROCORAX-ARISTOTELIS; HEMATOPOIETIC STEM-CELLS; HUMAN FIBROBLASTS; IN-VIVO; LENGTH; GROWTH; SENESCENCE; LIFE; DNA; TURNOVER</t>
  </si>
  <si>
    <t>Shortening of telomeres, specific nucleotide repeats that cap eukaryotic chromosomes, is thought to play an important role in cellular and organismal senescence. We examined telomere dynamics in two long-lived seabirds, the European shag and the wandering albatross. Telomere length in blood cells declines between the chick stage and adulthood in both species. However, among adults, telomere length is not related to age. This is consistent with reports of most telomere loss occurring early in life in other vertebrates. Thus, caution must be used in estimating annual rates of telomere loss, as these are probably not constant with age. We also measured changes within individuals in the wild, using repeat samples taken from individual shags as chicks and adults. We found high inter-individual variation in the magnitude of telomere loss, much of which was explained by circumstances during growth. Individuals laying down high tissue mass for their size showed greater telomere shortening. Independently of this, individuals born late in the season showed more telomere loss. Early conditions, possibly through their effects on oxidative stress, appear to play an important role in telomere attrition and thus potentially in the longevity of individuals.</t>
  </si>
  <si>
    <t>Univ Glasgow, Inst Biomed &amp; Life Sci, Glasgow G12 8QQ, Lanark, Scotland; Univ Glasgow, Sch Vet, Dept Vet Clin Studies, Glasgow G61 1QH, Lanark, Scotland; Ctr Ecol &amp; Hydrol, NERC, Banchory Res Stn, Brathens AB31 4BW, Aberdeen, Scotland; British Antarctic Survey, NERC, Cambridge CB3 0ET, England</t>
  </si>
  <si>
    <t>University of Glasgow; University of Glasgow; UK Centre for Ecology &amp; Hydrology (UKCEH); UK Research &amp; Innovation (UKRI); Natural Environment Research Council (NERC); UK Research &amp; Innovation (UKRI); Natural Environment Research Council (NERC); NERC British Antarctic Survey</t>
  </si>
  <si>
    <t>Univ Glasgow, Inst Biomed &amp; Life Sci, Glasgow G12 8QQ, Lanark, Scotland.</t>
  </si>
  <si>
    <t>p.rnonaghan@bio.gla.ac.uk</t>
  </si>
  <si>
    <t>Hall, Maggie/C-7906-2009; Wanless, Sarah/K-2338-2012; Monaghan, Pat/E-6810-2015; Monaghan, Pat/A-4271-2008; Daunt, Francis/K-6688-2012</t>
  </si>
  <si>
    <t>Wanless, Sarah/0000-0002-2788-4606; Monaghan, Pat/0000-0003-2430-0326; Daunt, Francis/0000-0003-4638-3388</t>
  </si>
  <si>
    <t>1471-2954</t>
  </si>
  <si>
    <t>10.1098/rspb.2004.2768</t>
  </si>
  <si>
    <t>842HU</t>
  </si>
  <si>
    <t>WOS:000222995100004</t>
  </si>
  <si>
    <t>Takahashi, A; Sato, K; Naito, Y; Dunn, MJ; Trathan, PN; Croxall, JP</t>
  </si>
  <si>
    <t>Penguin-mounted cameras glimpse underwater group behaviour</t>
  </si>
  <si>
    <t>diving behaviour; group behaviour; camera technology</t>
  </si>
  <si>
    <t>FORAGING BEHAVIOR; ICE</t>
  </si>
  <si>
    <t>Marine birds and mammals spend most of their lives in the open ocean far from human observation, which makes obtaining information about their foraging behaviour difficult. Here, we show, by use of a miniaturized digital camera system, the first direct evidence (to our knowledge) of underwater group behaviour in free-ranging penguins. Penguins swim closely accompanied by other bird(s) during 24% of their possible foraging dives. This finding confirms that such miniaturized camera technology has broad applicability for advancing our knowledge about the previously unknown social interactions of marine animals at depth.</t>
  </si>
  <si>
    <t>Natl Inst Polar Res, Tokyo 1738515, Japan; Natl Environm Res Council, British Antarctic Survey, Cambridge CB3 0ET, England</t>
  </si>
  <si>
    <t>Research Organization of Information &amp; Systems (ROIS); National Institute of Polar Research (NIPR) - Japan; UK Research &amp; Innovation (UKRI); Natural Environment Research Council (NERC); NERC British Antarctic Survey</t>
  </si>
  <si>
    <t>Natl Inst Polar Res, Tokyo 1738515, Japan.</t>
  </si>
  <si>
    <t>atak@nipr.ac.jp</t>
  </si>
  <si>
    <t>Dunn, Michael/0000-0003-4633-5466</t>
  </si>
  <si>
    <t>S281</t>
  </si>
  <si>
    <t>S282</t>
  </si>
  <si>
    <t>10.1098/rsbl.2004.0182</t>
  </si>
  <si>
    <t>843QP</t>
  </si>
  <si>
    <t>WOS:000223099800008</t>
  </si>
  <si>
    <t>Considine, DB; Connell, PS; Bergmann, DJ; Rotman, DA; Strahan, SE</t>
  </si>
  <si>
    <t>Sensitivity of Global Modeling Initiative model predictions of Antarctic ozone recovery to input meteorological fields</t>
  </si>
  <si>
    <t>ozone; recovery; stratosphere</t>
  </si>
  <si>
    <t>DATA ASSIMILATION; NITROUS-OXIDE; STRATOSPHERIC WINDS; INORGANIC CHLORINE; TRANSPORT; VALIDATION; AGE; INSTRUMENT; SPECTRA; SMVGEAR</t>
  </si>
  <si>
    <t>We use the Global Modeling Initiative chemistry and transport model to simulate the evolution of stratospheric ozone between 1995 and 2030, using boundary conditions consistent with the recent World Meteorological Organization ozone assessment. We compare the Antarctic ozone recovery predictions of two simulations, one driven by an annually repeated year of meteorological data from a general circulation model (GCM), the other using a year of output from a data assimilation system (DAS), to examine the sensitivity of Antarctic ozone recovery predictions to the characteristic dynamical differences between GCM- and DAS-generated meteorological data. Although the age of air in the Antarctic lower stratosphere differs by a factor of 2 between the simulations, we find little sensitivity of the 1995-2030 Antarctic ozone recovery between 350 and 650 K to the differing meteorological fields, particularly when the recovery is specified in mixing ratio units. Percent changes are smaller in the DAS-driven simulation compared to the GCM-driven simulation because of a surplus of Antarctic ozone in the DAS-driven simulation which is not consistent with observations. The peak ozone change between 1995 and 2030 in both simulations is similar to20% lower than photochemical expectations, indicating that changes in ozone transport due to changing ozone gradients at 450 K between 1995 and 2030 constitute a small negative feedback. Total winter/spring ozone loss during the base year (1995) of both simulations and the rate of ozone loss during August and September is somewhat weaker than observed. This appears to be due to underestimates of Antarctic C1(y) at the 450-K potential temperature level.</t>
  </si>
  <si>
    <t>NASA, Langley Res Ctr, Hampton, VA 23681 USA; Lawrence Livermore Natl Lab, Div Atmospher Sci, Livermore, CA 94550 USA; Univ Maryland Baltimore Cty, Goddard Earth Sci &amp; Technol Ctr, Baltimore, MD 21250 USA</t>
  </si>
  <si>
    <t>National Aeronautics &amp; Space Administration (NASA); NASA Langley Research Center; United States Department of Energy (DOE); Lawrence Livermore National Laboratory; University System of Maryland; University of Maryland Baltimore County; National Aeronautics &amp; Space Administration (NASA); NASA Goddard Space Flight Center</t>
  </si>
  <si>
    <t>NASA, Langley Res Ctr, Mail Stop 401B, Hampton, VA 23681 USA.</t>
  </si>
  <si>
    <t>david.b.considine@nasa.gov; connell2@llnl.gov; bergmann1@llnl.gov; rotman1@llnl.gov; strahan@code916.gsfc.nasa.gov</t>
  </si>
  <si>
    <t>Bergmann, Daniel J/F-9801-2011; Strahan, Susan E/H-1965-2012</t>
  </si>
  <si>
    <t>Bergmann, Daniel J/0000-0003-4357-6301;</t>
  </si>
  <si>
    <t>AUG 3</t>
  </si>
  <si>
    <t>D15301</t>
  </si>
  <si>
    <t>10.1029/2003JD004487</t>
  </si>
  <si>
    <t>846SG</t>
  </si>
  <si>
    <t>WOS:000223335900001</t>
  </si>
  <si>
    <t>Place, SP; Zippay, ML; Hofmann, GE</t>
  </si>
  <si>
    <t>Constitutive roles for inducible genes:: evidence for the alteration in expression of the inducible hsp70 gene in Antarctic notothenioid fishes</t>
  </si>
  <si>
    <t>AMERICAN JOURNAL OF PHYSIOLOGY-REGULATORY INTEGRATIVE AND COMPARATIVE PHYSIOLOGY</t>
  </si>
  <si>
    <t>heat shock response; molecular chaperones; heat shock proteins; gene expression; cold adaptation; hsp70 messenger ribonucleic acid</t>
  </si>
  <si>
    <t>HEAT-SHOCK PROTEINS; UBIQUITIN-PROTEASOME PATHWAY; MOLECULAR CHAPERONES; STRESS-RESPONSE; COLD DENATURATION; ABNORMAL PROTEINS; HYDRA-OLIGACTIS; DEGRADATION; THERMOTOLERANCE; CARDIOMYOCYTES</t>
  </si>
  <si>
    <t>Previous research on the Antarctic notothenioid fish Trematomus bernacchii demonstrated the loss of the heat shock response (HSR), a classical cellular defense mechanism against thermal stress, characterized by the rapid synthesis of heat shock proteins ( Hsps). In the current study, we examined potential mechanisms for the apparent loss of the HSR in Antarctic notothenioids and, in addition, compared expression patterns of two genes from the 70-kDa Hsp family (hsc71 and hsp70) in tissues from T. bernacchii to expression patterns in tissues of two closely related temperate notothenioid fishes from New Zealand, Bovichtus variegatus and Notothenia angustata. The results showed that transcript for both the constitutive and inducible genes in the Hsp70 gene family were expressed in detectable levels in all three species. However, only the cold-temperate New Zealand fishes displayed the ability to upregulate the inducible transcript, hsp70. Although hsp70 was present in detectable levels in several tissues of the Antarctic notothen T. bernacchii, in vitro thermal stresses failed to produce a significant increase in mRNA levels. In all species, the expression of the constitutive transcript hsc71 was variable and nonresponsive to temperature increases, even at temperatures as high as 10degreesC above the ecologically relevant range for the species under study. Field-collected tissues from T. bernacchii ( sampled immediately after capture) indicated that hsp70 mRNA was expressed at high levels in field-acclimatized fishes. Thus upregulation of molecular chaperones suggested that low-temperature stress may be significantly denaturing to cellular proteins in Antarctic fish, an observation that was supported by elevated levels of ubiquitin-conjugated protein.</t>
  </si>
  <si>
    <t>0363-6119</t>
  </si>
  <si>
    <t>1522-1490</t>
  </si>
  <si>
    <t>AM J PHYSIOL-REG I</t>
  </si>
  <si>
    <t>Am. J. Physiol.-Regul. Integr. Comp. Physiol.</t>
  </si>
  <si>
    <t>AUG</t>
  </si>
  <si>
    <t>R429</t>
  </si>
  <si>
    <t>R436</t>
  </si>
  <si>
    <t>10.1152/ajpregu.00223.2004</t>
  </si>
  <si>
    <t>Physiology</t>
  </si>
  <si>
    <t>840CT</t>
  </si>
  <si>
    <t>WOS:000222835300028</t>
  </si>
  <si>
    <t>Bruns, M; Buehler, SA; Burrows, JP; Heue, KP; Platt, U; Pundt, I; Richter, A; Rozanov, A; Wagner, T; Wang, P</t>
  </si>
  <si>
    <t>Retrieval of profile information from airborne multiaxis UV-visible skylight absorption measurements</t>
  </si>
  <si>
    <t>APPLIED OPTICS</t>
  </si>
  <si>
    <t>ARCTIC STRATOSPHERIC EXPEDITION; REMOTE-SENSING OBSERVATIONS; ANTARCTIC OZONE EXPERIMENT; GROUND-BASED MEASUREMENTS; COLUMN ABUNDANCES; FEBRUARY 1989; NITROGEN-DIOXIDE; NO2; SPECTROSCOPY; BRO</t>
  </si>
  <si>
    <t>A recent development in ground-based remote sensing of atmospheric constituents by UV-visible, absorption measurements of scattered light is the simultaneous use of several horizon viewing directions in addition to the traditional zenith-sky pointing. The different light paths through the atmosphere enable the vertical distribution of some atmospheric absorbers, such as NO2, BrO, or O-3, to be retrieved. This approach has recently been implemented on an airborne platform. This novel instrument, the airborne multiaxis differential optical absorption spectrometer (AMAXDOAS), has been flown for the first time. In this study, the amount of profile information that can be retrieved from such measurements is investigated for the trace gas NO2. Sensitivity studies on synthetic data are performed for a variety of representative measurement conditions including two wavelengths, one in the UV and one in the visible, two different surface spectral reflectances, various lines of sight (LOSs), and for two different flight altitudes. The results demonstrate that the AMAXDOAS measurements contain useful profile information, mainly at flight altitude and below the aircraft. Depending on wavelength and LOS used, the vertical resolution of the retrieved profiles is as good as 2 km near flight altitude. Above 14 km the profile information content of AMAXDOAS measurements is sparse. Airborne multiaxis measurements are thus a promising tool for atmospheric studies in the troposphere and the upper troposphere and lower stratosphere region. (C) 2004 Optical Society of America.</t>
  </si>
  <si>
    <t>Univ Bremen, Inst Environm Phys, D-28359 Bremen, Germany; Heidelberg Univ, Inst Environm Phys, D-69120 Heidelberg, Germany</t>
  </si>
  <si>
    <t>University of Bremen; Ruprecht Karls University Heidelberg</t>
  </si>
  <si>
    <t>Bruns, M (corresponding author), Univ Bremen, Inst Environm Phys, POB 33 04 40, D-28359 Bremen, Germany.</t>
  </si>
  <si>
    <t>marco.bruns@iup.physik.uni-bremen.de</t>
  </si>
  <si>
    <t>Platt, Ulrich/HZM-2289-2023; Burrows, John Philip/AAF-8468-2019; Richter, Andreas/C-4971-2008; Buehler, Stefan Alexander/A-4056-2009</t>
  </si>
  <si>
    <t>Burrows, John Philip/0000-0002-6821-5580; Heue, Klaus-Peter/0000-0001-8823-7712; Rozanov, Alexei/0000-0003-4525-3223; Richter, Andreas/0000-0003-3339-212X; Buehler, Stefan Alexander/0000-0001-6389-1160</t>
  </si>
  <si>
    <t>OPTICAL SOC AMER</t>
  </si>
  <si>
    <t>2010 MASSACHUSETTS AVE NW, WASHINGTON, DC 20036 USA</t>
  </si>
  <si>
    <t>1559-128X</t>
  </si>
  <si>
    <t>2155-3165</t>
  </si>
  <si>
    <t>APPL OPTICS</t>
  </si>
  <si>
    <t>Appl. Optics</t>
  </si>
  <si>
    <t>AUG 1</t>
  </si>
  <si>
    <t>10.1364/AO.43.004415</t>
  </si>
  <si>
    <t>Optics</t>
  </si>
  <si>
    <t>841MP</t>
  </si>
  <si>
    <t>WOS:000222934800018</t>
  </si>
  <si>
    <t>Tosheva, Z; Kies, A; Klosen, M; Veltchev, K</t>
  </si>
  <si>
    <t>Determination of ultra-low concentrations of Pb-210 in Antarctic glacier with cation exchange resins filter - results, problems and perspectives</t>
  </si>
  <si>
    <t>APPLIED RADIATION AND ISOTOPES</t>
  </si>
  <si>
    <t>Meeting of the International-Committee-for-Radionuclide-Metrology (ICRM)</t>
  </si>
  <si>
    <t>OCT 13-17, 2003</t>
  </si>
  <si>
    <t>Vienna, AUSTRIA</t>
  </si>
  <si>
    <t>Antarctic ice-core; Gamma spectrometry; Pb-210; extraction chromatography</t>
  </si>
  <si>
    <t>In this paper, we describe a new, reliable and simple method to determine Pb-210 concentration in ice-core samples, based on Radium 3M filters (USA). The advantages are well-known chemical yield, simplified retention procedure and measurement by low-energy Ge gamma spectrometry. We compare the results with those obtained by MN 616 LSA-50 filters (Germany). The method permits us to determine activity concentrations down to 30 mBq/l. We proved the efficiency and applicability of the method in the study of ice cores drilled in Livingston Island's glacier in Antarctica. (C) 2004 Elsevier Ltd. All rights reserved.</t>
  </si>
  <si>
    <t>Univ Luxemburg, Minist Environm &amp; Water Bulgaria, L-1511 Luxembourg, Luxembourg; Natl Inst Meteorol &amp; Hydrol Bulgaria, Sofia, Bulgaria</t>
  </si>
  <si>
    <t>University of Luxembourg</t>
  </si>
  <si>
    <t>Tosheva, Z (corresponding author), Univ Luxemburg, Minist Environm &amp; Water Bulgaria, 162A Ave Faiencerie, L-1511 Luxembourg, Luxembourg.</t>
  </si>
  <si>
    <t>tosheva@.cu.lu</t>
  </si>
  <si>
    <t>0969-8043</t>
  </si>
  <si>
    <t>APPL RADIAT ISOTOPES</t>
  </si>
  <si>
    <t>Appl. Radiat. Isot.</t>
  </si>
  <si>
    <t>AUG-SEP</t>
  </si>
  <si>
    <t>10.1016/j.apradiso.2004.03.042</t>
  </si>
  <si>
    <t>Chemistry, Inorganic &amp; Nuclear; Nuclear Science &amp; Technology; Radiology, Nuclear Medicine &amp; Medical Imaging</t>
  </si>
  <si>
    <t>Chemistry; Nuclear Science &amp; Technology; Radiology, Nuclear Medicine &amp; Medical Imaging</t>
  </si>
  <si>
    <t>831JW</t>
  </si>
  <si>
    <t>WOS:000222191700032</t>
  </si>
  <si>
    <t>Orboek, JB; Tombre, I; Kallenborn, R</t>
  </si>
  <si>
    <t>Challenges in Arctic-alpine environmental research</t>
  </si>
  <si>
    <t>Norwegian Polar Res Inst, N-9171 Longyearbyen, Svalbard, Norway; Polar Environm Ctr, Norwegian Inst Nat Res, N-9296 Tromso, Norway; Norwegian Inst Air Res, N-2027 Kjeller, Norway</t>
  </si>
  <si>
    <t>Norwegian Polar Institute; Norwegian Institute Nature Research; NILU</t>
  </si>
  <si>
    <t>Norwegian Polar Res Inst, Postbox 505, N-9171 Longyearbyen, Svalbard, Norway.</t>
  </si>
  <si>
    <t>jonbo@npolar.no</t>
  </si>
  <si>
    <t>Ørbæk, Jon Børre/HKF-1933-2023; Kallenborn, Roland/F-8368-2011</t>
  </si>
  <si>
    <t>Kallenborn, Roland/0000-0003-1703-2538</t>
  </si>
  <si>
    <t>893GI</t>
  </si>
  <si>
    <t>WOS:000226706900001</t>
  </si>
  <si>
    <t>Berg, T; Kallenborn, R; Mano, S</t>
  </si>
  <si>
    <t>Temporal trends in atmospheric heavy metal and organochlorine concentrations at Zeppelin, Svalbard</t>
  </si>
  <si>
    <t>International Conference on Arctic-Alpine Ecosystems and People in a Changing Environment</t>
  </si>
  <si>
    <t>FEB 24-MAR 01, 2003</t>
  </si>
  <si>
    <t>Tromso, NORWAY</t>
  </si>
  <si>
    <t>ANTHROPOGENIC SOURCES; SPRINGTIME DEPLETION; NY-ALESUND; MERCURY; AEROSOL; HEXACHLOROCYCLOHEXANE; DEPOSITION; TRANSPORT</t>
  </si>
  <si>
    <t>As a part of the national Norwegian monitoring program, long-term surveys of contaminants have been carried out at the Zeppelin atmospheric research station (Ny-Alesund, Svalbard) since the early 1990s. In the present study, all obtained data have been summarized and analyzed in order to review possible temporal trends for selected atmospheric contaminants at Svalbard. The following heavy metals were determined in aerosols: Pb, Cd, Hg, Cu, Zn, Cr, Ni, Co, Mn, V, and As. Only Ni showed a decreasing trend in the concentrations over the past decade. Organochlorine compounds in combined gaseous phase and aerosol samples evaluated were the following: alpha-HCH (hexachlorocyclohexane), gamma-HCH, HCB (hexachlorobenzene), and sum-DDT (dichlorodiphenyltrichloroethane). Only those organochlorines exhibiting significant statistically confirmed temporal trends were chosen for the present comparison. Thus, although polychlorinated biphenyls (PCBs) as well as chlordanes are routinely monitored at the Zeppelin station, they were not considered for the here presented report because no clear trends were determined. Therefore all, but sum-DDT showed significant decreasing trends, correlating well with the national and international governmental regulations.</t>
  </si>
  <si>
    <t>Norwegian Inst Air Res, NILU, N-2027 Kjeller, Norway</t>
  </si>
  <si>
    <t>NILU</t>
  </si>
  <si>
    <t>Norwegian Inst Air Res, NILU, PB 100, N-2027 Kjeller, Norway.</t>
  </si>
  <si>
    <t>torunn.berg@nilu.no; roland.kallenborn@nilu.no; stein.mano@nilu.no</t>
  </si>
  <si>
    <t>Kallenborn, Roland/F-8368-2011; Berg, Torunn/S-5887-2017; Berg, Torunn/I-3521-2013</t>
  </si>
  <si>
    <t>Kallenborn, Roland/0000-0003-1703-2538; Berg, Torunn/0000-0002-2264-6676</t>
  </si>
  <si>
    <t>10.1657/1523-0430(2004)036[0284:TTIAHM]2.0.CO;2</t>
  </si>
  <si>
    <t>WOS:000226706900002</t>
  </si>
  <si>
    <t>Poikolainen, J; Kubin, E; Piispanen, J; Karhu, J</t>
  </si>
  <si>
    <t>Estimation of the long-range transport of mercury, cadmium, and lead to Northern Finland on the basis of moss surveys</t>
  </si>
  <si>
    <t>ATMOSPHERIC MERCURY; HYLOCOMIUM-SPLENDENS; METAL-DEPOSITION; EMISSIONS</t>
  </si>
  <si>
    <t>Nation-wide surveys of the accumulation of 10 heavy metals in mosses were carried out in Finland in 1985, 1990, 1995, and 2000. Separate investigations were carried out, on the basis of these surveys, into the atmospheric deposition of Hg, Cd, and Pb beyond the Arctic Circle in northern Finland. These metals are readily distributed in the form of long-range transboundary pollution, and particular concern has been raised about the transport and accumulation of these metals into Arctic areas. The Hg, Cd, and Pb concentrations in mosses in northern Finland were low. There was a clear decrease in Cd and Pb concentrations during the period 1985-2000. The Pb concentration decreased, on the average, from 8 to 2 mug g(-1), and the Cd concentration from 0.3 to 0.1 mug g(-1). Hg concentrations, which were analyzed in 1995 and 2000, decreased only slightly from 0.037 to 0.031 mug g(-1). The slight decrease in Hg concentrations in northern Finland appears to reflect the decreasing Hg emissions and the high mobility of this metal. Factors leading to the decrease in Pb and Cd concentrations in mosses in northern Finland include a decrease in local emissions and a decrease in transboundary air pollution. The past two decades have been characterized by decreases in heavy metal emissions of throughout Europe. The greatest reductions have been in Pb emissions, due to the introduction of unleaded fuels.</t>
  </si>
  <si>
    <t>Finnish Forest Res Inst, Muhos Res Stn, Muhos 91500, Finland</t>
  </si>
  <si>
    <t>Natural Resources Institute Finland (Luke)</t>
  </si>
  <si>
    <t>Finnish Forest Res Inst, Muhos Res Stn, Kirkkosaarentie 7, Muhos 91500, Finland.</t>
  </si>
  <si>
    <t>jarmo.poikolainen@metla.fi</t>
  </si>
  <si>
    <t>10.1657/1523-0430(2004)036[0292:EOTLTO]2.0.CO;2</t>
  </si>
  <si>
    <t>WOS:000226706900003</t>
  </si>
  <si>
    <t>Marchand, FL; Nijs, I; de Boeck, HJ; Kockelbergh, F; Mertens, S; Beyens, L</t>
  </si>
  <si>
    <t>Increased turnover but little change in the carbon balance of High-Arctic tundra exposed to whole growing season warming</t>
  </si>
  <si>
    <t>SOIL RESPIRATION; CLIMATE-CHANGE; CO2 EFFLUX; TEMPERATURE; DIOXIDE; FLUX; VEGETATION; METAANALYSIS; EXCHANGE; PLANTS</t>
  </si>
  <si>
    <t>Tundra ecosystems constitute large stocks of carbon and might therefore, if climate warming releases CO2, induce positive feedback and amplify temperature increase. We studied the effect of a 2.5degreesC temperature increment, induced by controlled infrared irradiation, on various components of the carbon balance of a High Arctic tundra ecosystem at Zackenberg in Northeast Greenland (74degreesN, 21degreesW) over the 1999 growing season. Gross photosynthesis (P-gross), belowground respiration (R-soil), and canopy respiration (R-canopy) were regularly determined with closed dynamic CO2 exchange systems, and the whole-growing season C-balance was reconstructed by relating these components to potentially controlling factors (green cover, soil moisture, radiation, soil and canopy temperature, and thawing depth). Thawing depth and green cover increased in heated plots, while soil moisture was not significantly affected. P-gross increased 24.2%, owing to both a green cover and a physiological influence of warming. Belowground respiration was enhanced 33.3%, mainly through direct warming impact and in spite of lower Q(10) in the heated plots; the factors controlling R-soil, were day of the year and soil moisture. did not differ significantly between treatments, although green cover was higher in the heated plots. This tundra ecosystem acted as a relatively small net sink both under current (0.86 mol CO2 m(-2)) and heated (1.24 mol CO2 m(-2)) conditions. Nevertheless, turnover increased, which was best explained by a combination of direct and indirect temperature effects, and delayed senescence.</t>
  </si>
  <si>
    <t>Univ Antwerp, Dept Biol, Res Grp Plant &amp; Vegetat Ecol, B-2610 Antwerp, Belgium; Univ Antwerp, Dept Biol, Res Grp Polar Ecol Limnol &amp; Paleobiol, B-2020 Antwerp, Belgium</t>
  </si>
  <si>
    <t>University of Antwerp; University of Antwerp</t>
  </si>
  <si>
    <t>; De Boeck, Hans/N-6153-2016</t>
  </si>
  <si>
    <t>Nijs, Ivan/0000-0003-3111-680X; De Boeck, Hans/0000-0003-2180-8837</t>
  </si>
  <si>
    <t>10.1657/1523-0430(2004)036[0298:ITBLCI]2.0.CO;2</t>
  </si>
  <si>
    <t>WOS:000226706900004</t>
  </si>
  <si>
    <t>Cooper, EJ</t>
  </si>
  <si>
    <t>Out of sight, out of mind:: Thermal acclimation of root respiration in Arctic Ranunculus</t>
  </si>
  <si>
    <t>RELATIVE GROWTH-RATE; LONG-TERM CHANGES; TEMPERATURE; ALPINE</t>
  </si>
  <si>
    <t>Respiration rates, thermal sensitivity, and thermal acclimation potential of root respiration were investigated in Ranunculus from the Arctic. Comparisons of three species (R. glacialis, R. nivalis and R. acris subsp. pumilus) used plants grown on a mountain or in a glasshouse for 6 wk at contrasting soil temperatures (5.4 and 14.5 degreesC, respectively). Northern and southern ecotypes of two species of Ranunculus (R. pygmaeus, and R. acris subsp. acris), together ranging from Svalbard (79 degreesN) to Scotland (56 degreesN), were similarly compared after 2 wk in a growth cabinet at 5 and 15 degreesC. Respiration rates varied at standard measurement temperatures; R. nivalis and R. pygmaeus grown on the mountain or at 5 degreesC had the highest respiration, followed by other alpine snowbed species (R. glacialis and R. acris subsp. pumilus) and R. acris subsp. acris from the arctic lowland; R. acris subsp. acris from Scotland had lowest rates. Respiration was temperature sensitive for all populations, increasing progressively between 5 and 20 degreesC (Q(10) ((5-15)): 1.2-2.4). Extent and type of acclimation of root respiration varied with no clear latitudinal pattern emerging. Acclimation to a 10 degreesC increase in growth temperature was achieved through: change in temperature sensitivity (shown by changes in Q(10 (5-15)) values) (R. acris subsp. pumilus); or reduction in absolute rates (R. pygmaeus from Svalbard, R. acris subsp. pumilus and R. nivalis). Complete acclimation occurred in R. acris subsp. pumilus and R. pygmaeus, whereas R. acris subsp. acris from Scotland and R. glacialis did not acclimate. Plants that adjust root respiration (e.g., R. pygmaeus from Svalbard and R. acris subsp. pumilus) to maintain a positive carbon balance, may tolerate predicted temperature increases in arctic regions. Plants with high rates of root respiration and/or high sensitivity to temperature as well as poor acclimation potential, (e.g., R. glacialis) may only persist in cold microhabitats.</t>
  </si>
  <si>
    <t>Univ Ctr Svalbard, UNIS, N-9171 Longyearbyen, Norway</t>
  </si>
  <si>
    <t>University Centre Svalbard (UNIS)</t>
  </si>
  <si>
    <t>Univ Ctr Svalbard, UNIS, POB 156, N-9171 Longyearbyen, Norway.</t>
  </si>
  <si>
    <t>elisabeth.cooper@unis.no</t>
  </si>
  <si>
    <t>10.1657/1523-0430(2004)036[0308:OOSOOM]2.0.CO;2</t>
  </si>
  <si>
    <t>WOS:000226706900005</t>
  </si>
  <si>
    <t>Virtanen, T; Mikkola, K; Nikula, A; Christensen, JH; Mazhitova, GG; Oberman, NG; Kuhry, P</t>
  </si>
  <si>
    <t>Modeling the location of the forest line in northeast European Russia with remotely sensed vegetation and GIS-based climate and terrain data</t>
  </si>
  <si>
    <t>ENVIRONMENTAL GRADIENTS; BOREAL FORESTS; USA BASIN; DYNAMICS; TUNDRA; LIMIT; EAST; SENSITIVITY; VALIDATION; BOUNDARIES</t>
  </si>
  <si>
    <t>GIS-based data sets were used to analyze the structure of the forest line at the landscape level in the lowlands of the Usa River Basin, in northeast European Russia. Vegetation zones in the area range from taiga in the south to forest-tundra and tundra in the north. We constructed logistic regression models to predict forest location at spatial scales varying from 1 x 1 km to 25 x 25 km grid cells. Forest location was explained by July mean temperature, ground temperature (permafrost), yearly minimum temperature, and a Topographic Wetness Index (soil moisture conditions). According to the models, the forest line follows the +13.9degreesC mean July temperature isoline, whereas in other parts of the Arctic it usually is located between +10 to +12degreesC. It is hypothesized that the anomalously high temperature isoline for the forest line in Northeast European Russia is due to the inability of local ecotypes of spruce to grow on permafrost terrain. Observed patterns depend on spatial scale, as the relative significance of the explanatory variables varies between models implemented at different scales. Developed models indicate that with climate wan-ning of 3degreesC by the end of the 21st century temperature would not limit forest advance anywhere in our study area.</t>
  </si>
  <si>
    <t>Finnish Forest Res Inst, Rovaniemi Res Stn, FIN-96301 Rovaniemi, Finland; Danish Inst Fundamental Metrol, DK-2100 Copenhagen, Denmark; Russian Acad Sci, Dept Soil Sci, Inst Biol, Komi Sci Ctr, Syktyvkar 167982, Russia; MIREKO Co, Syktyvkar 167983, Russia; Stockholm Univ, Dept Phys Geog &amp; Quanternary Geol, SE-10691 Stockholm, Sweden</t>
  </si>
  <si>
    <t>Natural Resources Institute Finland (Luke); Danish Fundamental Metrology; Russian Academy of Sciences; Institute of Biology, Komi Scientific Centre, Ural Branch RAS; Komi Science Centre of the Ural Branch of the Russian Academy of Sciences; Stockholm University</t>
  </si>
  <si>
    <t>Univ Helsinki, Dept Biol &amp; Environm Sci, Box 65, FIN-00014 Helsinki, Finland.</t>
  </si>
  <si>
    <t>tarmo.virtanen@helsinki.fi</t>
  </si>
  <si>
    <t>Mazhitova, Galina/L-1324-2018; Christensen, Jens Hesselbjerg/C-4162-2013</t>
  </si>
  <si>
    <t>Christensen, Jens Hesselbjerg/0000-0002-9908-8203; Virtanen, Tarmo/0000-0001-8660-2464</t>
  </si>
  <si>
    <t>10.1657/1523-0430(2004)036[0314:MTLOTF]2.0.CO;2</t>
  </si>
  <si>
    <t>WOS:000226706900006</t>
  </si>
  <si>
    <t>Tommervik, H; Johansen, B; Tombre, I; Thannheiser, D; Hogda, KA; Gaare, E; Wielgolaski, FE</t>
  </si>
  <si>
    <t>Vegetation changes in the Nordic mountain birch forest: The influence of grazing and climate change</t>
  </si>
  <si>
    <t>ARCTIC HEATH; REINDEER; NITROGEN; GROWTH; PRODUCTIVITY; FENNOSCANDIA; IMPACTS; LICHENS; BIOMASS</t>
  </si>
  <si>
    <t>The study focuses on vegetation changes in the Nordic mountain birch forest in northern Norway, covering a period of more than 40 yr. The study area comprises the municipalities of Kautokeino and Karasjok on Finnmarkskvidda; it is predominantly covered by lichen and dwarf shrub vegetation. Sizes of various vegetation classes were estimated by the use of remote-sensing techniques and ground surveys. A significant change in vegetation cover during the study period was registered in the whole study area. Vegetation types dominated by bilberry (Vaccinium myrtillus), wavy hair-grass (Deschampsia fleuxuosa), the dwarf cornel (Cornus suecica), and mosses have tripled in abundance compared to 40 yr ago. In contrast, lichen-dominated heaths and woodland (forests), preferred by the reindeer stocks intensively utilizing these areas of Finnmarksvidda, have decreased by approximately 80% in abundance during the same period. Correspondingly, there has been a significant increase in the extent of birch forests especially in Kautokeino (90% increase). The reason for the steep decline in lichen-dominated areas appears to be a direct consequence of the intensive grazing by the increasing reindeer population in the period 1961-1987, but climate change (increased precipitation), caterpillar attacks, and long-transported air pollution (e.g., nitrogen) may also have accentuated the increase of forests and other vegetation types.</t>
  </si>
  <si>
    <t>Polar Environm Ctr, Norwegian Inst Nat Res, N-9296 Tromso, Norway; NORUT Informat Technol, Earth Observ grp, N-9291 Tromso, Norway; Univ Hamburg, Dept Geog, D-20146 Hamburg, Germany; Univ Oslo, Dept Biol, N-0316 Oslo, Norway</t>
  </si>
  <si>
    <t>Norwegian Institute Nature Research; University of Hamburg; University of Oslo</t>
  </si>
  <si>
    <t>Polar Environm Ctr, Norwegian Inst Nat Res, N-9296 Tromso, Norway.</t>
  </si>
  <si>
    <t>hans.tommervik@nina.no</t>
  </si>
  <si>
    <t>Tømmervik, Hans/AAK-7042-2021</t>
  </si>
  <si>
    <t>Tømmervik, Hans/0000-0001-7273-1695</t>
  </si>
  <si>
    <t>10.1657/1523-0430(2004)036[0323:VCITNM]2.0.CO;2</t>
  </si>
  <si>
    <t>WOS:000226706900007</t>
  </si>
  <si>
    <t>Kohler, J; Aanes, R</t>
  </si>
  <si>
    <t>Effect of winter snow and ground-icing on a Svalbard reindeer population: Results of a simple snowpack model</t>
  </si>
  <si>
    <t>DENSITY-DEPENDENCE; LARGE HERBIVORES; NY-ALESUND; DYNAMICS; GREENLAND; CLIMATE; TRENDS; SPITSBERGEN; PARAMETERS; MORTALITY</t>
  </si>
  <si>
    <t>Winter climate is a key factor affecting population dynamics in high-arctic ungulates, with many studies showing a strong negative correlation of winter precipitation to fluctuations in population growth rate. Terrestrial ice crust or ground-ice can also have a catastrophic impact on populations, although it is rarely quantified. We assess the impact of winter climate on the population dynamics of an isolated herd of Svalbard reindeer near Ny-Alesund with a retrospective analysis of past winter snowpack. We model landscape-scale snowpack and ground-ice thickness using basic temperature and precipitation data in a simple degree-day model containing four adjustable parameters. Parameter values are found that lead to model snow and ground-ice thicknesses which correlate well with three different model targets: reindeer population growth rates; April snow accumulation measurements oil two local glaciers; and a limited number of ground-icing observations. We explain a significant percentage (80%) of the variance in the observed reindeer population growth rate using just the modeled mean winter ground-ice thickness in a simple regression. Adding other explanatory parameters, such as modeled mean winter snowpack thickness or previous years' population size does not much improve the regression relation.</t>
  </si>
  <si>
    <t>Norwegian Polar Res Inst, N-9296 Tromso, Norway</t>
  </si>
  <si>
    <t>Norwegian Polar Institute</t>
  </si>
  <si>
    <t>Norwegian Polar Res Inst, N-9296 Tromso, Norway.</t>
  </si>
  <si>
    <t>jack.kohler@npolar.no</t>
  </si>
  <si>
    <t>Kohler, Jack/0000-0003-1963-054X</t>
  </si>
  <si>
    <t>10.1657/1523-0430(2004)036[0333:EOWSAG]2.0.CO;2</t>
  </si>
  <si>
    <t>WOS:000226706900008</t>
  </si>
  <si>
    <t>Alcocer, J; Oseguera, LA; Escobar, E; Peralta, L; Lugo, A</t>
  </si>
  <si>
    <t>Phytoplankton biomass and water chemistry in two high-mountain tropical lakes in central Mexico</t>
  </si>
  <si>
    <t>CARBON</t>
  </si>
  <si>
    <t>In this work we report the vertical phytoplankton biomass distribution (chlorophyll a depth-profiles) and the integrated phytoplankton biomass (chlorophyll a per unit area) of two high-mountain Mexican Lakes: Et Sol and La Luna (19degrees06'N, 99degrees45'W, 4200 m a.s.l.). Et Sol and La Luna are transparent, nonglacier-fed lakes. Both lakes are continuous warm polymictic with a uniform vertical distribution of phytoplankton biomass. Slight heterogeneities were observed in El Sol with a deep-water chlorophyll maximum above the sediments (maximum difference 0.71 mug L(-1)) associated to phytoplankton sunken cells and the presence of filamentous benthic algae. Phytoplankton biomass per unit area was low in both takes (El Sol 1.91-8.36 and La Luna 1.13-4.80 mg Chla m(-2)), and similar to that of temperate high-mountain lakes. The temporal variations in the phytoplankton biomass were attributed mainly to a combined effect of nutrient input and zooplankton grazing pressure; the effect of low pH is also considered in La Luna.</t>
  </si>
  <si>
    <t>Univ Nacl Autonoma Mexico, FES Iztacala, Proyecto Invest Limnol Trop, Tlalnepantla 54090, Mexico; Univ Nacl Autonoma Mexico, Inst Ciencias Mar &amp; Limnol, Mexico City 04510, DF, Mexico</t>
  </si>
  <si>
    <t>Universidad Nacional Autonoma de Mexico; Universidad Nacional Autonoma de Mexico</t>
  </si>
  <si>
    <t>Alcocer, J (corresponding author), Univ Nacl Autonoma Mexico, FES Iztacala, Proyecto Invest Limnol Trop, Av Barrios 1, Tlalnepantla 54090, Mexico.</t>
  </si>
  <si>
    <t>jalcocer@servidor.unam.mx</t>
  </si>
  <si>
    <t>Magaña, Felipe/B-6966-2013; PERALTA, LORENA/IST-0846-2023; Alcocer, Javier/S-7672-2019; Oseguera, Luis Alberto/AAV-2739-2021</t>
  </si>
  <si>
    <t>Alcocer, Javier/0000-0002-0535-7936; Escobar Briones, Elva/0000-0002-8485-7495</t>
  </si>
  <si>
    <t>10.1657/1523-0430(2004)036[0342:PBAWCI]2.0.CO;2</t>
  </si>
  <si>
    <t>WOS:000226706900009</t>
  </si>
  <si>
    <t>Forland, EJ; Skaugen, TE; Benestad, RE; Hanssen-Bauer, I; Tveito, OE</t>
  </si>
  <si>
    <t>Variations in thermal growing, heating, and freezing indices in the Nordic Arctic, 1900-2050</t>
  </si>
  <si>
    <t>PRECIPITATION SCENARIOS; CLIMATE-CHANGE; TEMPERATURE; SEASON; VARIABILITY; SIMULATIONS</t>
  </si>
  <si>
    <t>Observational series and downscaled scenarios of air temperature are used to describe long-term variations 1900-2050 in different climatic indices that are important for the living conditions in the Nordic Arctic (Northern Fennoscandia, Svalbard, Faeroe Islands, and the Greenland-Iceland-Norwegian Sea regions). In addition to air temperature; indices illustrating vegetation conditions (growing season), energy consumption (heating season), and frost conditions (freezing season) are studied. The analyses are based on smoothed daily temperature series deduced from monthly averages for 27 Nordic climate stations, and are focusing on conditions in the climatological 30-yr reference periods 1901-1930, 1931-1960, and 1961-1990, and the scenario period 2021-2050. Also values for two recent time periods (1976-2000 and 1990-2002) are included. The results show substantial variations in growing, heating and freezing indices in the Nordic Arctic during the 20th century. Compared to the period 1961-1990, the growing season has increased during the recent decades in large parts of the region. Projections up to 2050 indicate that the growing season may increase by 3 to 4 wk at most of the stations in the region. The heating season has been reduced during the latest decades, and the projections indicate a further reduction during the next 50 yr.</t>
  </si>
  <si>
    <t>Norwegian Meteorol Inst, N-0313 Oslo, Norway</t>
  </si>
  <si>
    <t>Norwegian Meteorological Institute</t>
  </si>
  <si>
    <t>Norwegian Meteorol Inst, POB 43, N-0313 Oslo, Norway.</t>
  </si>
  <si>
    <t>e.forland@met.no</t>
  </si>
  <si>
    <t>Tveito, Ole Einar/G-4786-2019; Benestad, Rasmus E./I-3156-2019</t>
  </si>
  <si>
    <t>Benestad, Rasmus E./0000-0002-5969-4508; Hanssen-Bauer, Inger/0000-0002-5122-0607</t>
  </si>
  <si>
    <t>10.1657/1523-0430(2004)036[0347:VITGHA]2.0.CO;2</t>
  </si>
  <si>
    <t>WOS:000226706900010</t>
  </si>
  <si>
    <t>Verdebout, J</t>
  </si>
  <si>
    <t>A satellite-derived UV radiation climatology over Europe to support impact studies</t>
  </si>
  <si>
    <t>SURFACE UV; IRRADIANCE; TOMS; NORTHERN; OZONE</t>
  </si>
  <si>
    <t>The paper briefly presents a methodology for mapping surface UV radiation that uses a radiative transfer model and satellite data to quantify the influencing factors. TOMS, TOVS, and GOME data are used for the total column ozone. The cloud optical thickness is estimated using METEOSAT/MVIRI images. Other influencing factors taken into account include tropospheric aerosols, snow cover, and surface elevation. The resulting products are maps of surface dose rates and daily doses, covering Europe with a spatial resolution of 0.05degrees. On this basis, construction of a European UV climatology has been undertaken, with the purpose of supporting impact studies on the environment and human health. The data set covers the period from 1 January 1984 to 31 August 2003. A comparison between the satellite estimates and the measurements in Ispra, Italy, is briefly presented. Finally, examples of how the climatological data set can document the geographical distribution and year-to-year variability in surface UV radiation are presented.</t>
  </si>
  <si>
    <t>Commiss European Communities, Joint Res Ctr, Inst Hlth &amp; Consumer Protect, I-21020 Ispra, VA, Italy</t>
  </si>
  <si>
    <t>European Commission Joint Research Centre; EC JRC ISPRA Site</t>
  </si>
  <si>
    <t>Verdebout, J (corresponding author), Commiss European Communities, Joint Res Ctr, Inst Hlth &amp; Consumer Protect, Via E Fermi 1, I-21020 Ispra, VA, Italy.</t>
  </si>
  <si>
    <t>jean.verdebout@jrc.it</t>
  </si>
  <si>
    <t>10.1657/1523-0430(2004)036[0357:ASURCO]2.0.CO;2</t>
  </si>
  <si>
    <t>WOS:000226706900011</t>
  </si>
  <si>
    <t>Bredahl, L; Ro-Poulsen, H; Mikkelsen, TN</t>
  </si>
  <si>
    <t>Reduction of the ambient UV-B radiation in the high-arctic increases Fv/Fm in Salix arctica and Vaccinium uliginosum and reduces stomatal conductance and internal CO2 concentration in Salix arctica</t>
  </si>
  <si>
    <t>OZONE DEPLETION; FIELD; ECOSYSTEMS; RESPONSES; GROWTH; PLANTS</t>
  </si>
  <si>
    <t>This study investigates effects of reducing the ambient UV radiation on gas exchange and chlorophyll fluorescence of two shrub species, Salix arctica and Vaccinium uliginosum, in a high arctic heath in Northeast Greenland in July and August. On two sites films, Mylar and Lexan, were used to reduce UV-B radiation and UV-B + A radiation, respectively. A UV transparent film, Teflon, and no film were used as controls. Field measurements showed that the plants under Teflon, Mylar, and Lexan received approximately 91, 39, and 17% of the ambient UV-B irradiance, respectively. Reduced UV radiation increased maximal photochemical efficiency (F-v/F-m.) in both species. The responses varied in significance according to species, sites and time of growing season. Net assimilation (P,), measured as net CO2 uptake, was not significantly affected. But over the whole growing season stomatal conductance and intercellular CO(2)concentration were decreased by both UV treatments. The underlying mechanisms for these results are discussed. PAR-irradiance had a negative influence on the absolute values of F-v/F-m.. A positive correlation was found between F-v/F-m, and P-n measured at ambient CO2-level. It is concluded that it cannot be excluded, that the observed short-term effects could result in long-term negative effects on growth and survival for the investigated species.</t>
  </si>
  <si>
    <t>Univ Copenhagen, Inst Biol, Dept Terr Ecol, DK-1353 Copenhagen K, Denmark; Riso Natl Lab, Plant Res Dept, DK-4000 Roskilde, Denmark</t>
  </si>
  <si>
    <t>University of Copenhagen; Technical University of Denmark</t>
  </si>
  <si>
    <t>Univ Copenhagen, Inst Biol, Dept Terr Ecol, Oster Farimagsgade 2D, DK-1353 Copenhagen K, Denmark.</t>
  </si>
  <si>
    <t>helgerp@bot.ku.dk; teis.mikkelsen@risoe.dk</t>
  </si>
  <si>
    <t>Mikkelsen, Teis N/N-4089-2015; Ro-Poulsen, Helge/M-3034-2014</t>
  </si>
  <si>
    <t>Mikkelsen, Teis Norgaard/0000-0001-7470-6522; Ro-Poulsen, Helge/0000-0002-6531-118X</t>
  </si>
  <si>
    <t>10.1657/1523-0430(2004)036[0364:ROTAUR]2.0.CO;2</t>
  </si>
  <si>
    <t>WOS:000226706900012</t>
  </si>
  <si>
    <t>Zellmer, ID; Arts, MT; Abele, D; Humbeck, K</t>
  </si>
  <si>
    <t>Evidence of sublethal damage in Daphnia (Cladocera) during exposure to solar UV radiation in subarctic ponds</t>
  </si>
  <si>
    <t>DISSOLVED ORGANIC-CARBON; ULTRAVIOLET-RADIATION; FATTY-ACID; B RADIATION; FOOD; SURVIVAL; ZOOPLANKTON; TOLERANCE; GROWTH; ALGAE</t>
  </si>
  <si>
    <t>Daphnia was collected from five subarctic ponds which differed greatly in their DOC contents and, consequently, their underwater light (UV) climates. Irrespective of which Daphnia species was present, and contrary to expectations, the ponds with the lowest DOC concentrations (highest UV radiation levels) contained Daphnia with the highest eicosapentaenoic acid (EPA) concentrations. In addition, EPA concentrations in these Daphnia generally decreased in concert with seasonally increasing DOC concentrations. Daphnia from three of the ponds was also tested for its tolerance to solar ultraviolet radiation (UVR) with respect to survival. Daphnia pulex from the clear water pond showed, by far, the best UV-tolerance, followed by D. longispina from the moderately humic and D. longispina from the very humic pond. In addition, we measured sublethal parameters related to UV-damage such as the degree to which the gut of Daphnia appeared green (as a measure of their ability to digest algae), and whether their guts appeared damaged. We developed a simple, noninvasive scoring system to quantify the proportion of the gut in which digestive processes were presumably active. This method allowed repeated measurement of the same animals over the course of the experiment. We demonstrated, for the first time, that sublethal damage of the gut precedes mortality caused by exposure to UVR. In a parallel set of experiments we fed UV-exposed and non-exposed algae to UV-exposed and non-exposed daphnids. UVR pretreatment of algae enhanced the negative effects of exposure to natural solar UV-irradiation in Daphnia. These UV-related effects were generally not specific to the species of Daphnia.</t>
  </si>
  <si>
    <t>Univ Halle Wittenberg, Inst Plant Physiol, D-06120 Halle An Der Saale, Germany; Environm Canada, Natl Water Res Inst, Burlington, ON L7R 4A6, Canada; Alfred Wegener Inst Polar &amp; Marine Res, D-27568 Bremerhaven, Germany</t>
  </si>
  <si>
    <t>Martin Luther University Halle Wittenberg; Environment &amp; Climate Change Canada; National Water Research Institute; Helmholtz Association; Alfred Wegener Institute, Helmholtz Centre for Polar &amp; Marine Research</t>
  </si>
  <si>
    <t>Zellmer, ID (corresponding author), Univ Halle Wittenberg, Inst Plant Physiol, Weinbergweg 10, D-06120 Halle An Der Saale, Germany.</t>
  </si>
  <si>
    <t>zellmer@pflanzenphys.uni-halle.de</t>
  </si>
  <si>
    <t>; Arts, Michael/H-4973-2012</t>
  </si>
  <si>
    <t>Abele, Doris/0000-0002-5766-5017; Arts, Michael/0000-0002-2335-4317</t>
  </si>
  <si>
    <t>10.1657/1523-0430(2004)036[0370:EOSDID]2.0.CO;2</t>
  </si>
  <si>
    <t>WOS:000226706900013</t>
  </si>
  <si>
    <t>Mishra, VK; Kim, KH; Hong, S; Lee, K</t>
  </si>
  <si>
    <t>Aerosol composition and its sources at the King Sejong Station, Antarctic peninsula</t>
  </si>
  <si>
    <t>aerosol; seasonal variations; enrichment factor; source/sink; King Sejong station</t>
  </si>
  <si>
    <t>SEA-SALT AEROSOL; LEAD CONCENTRATION; TRACE-ELEMENTS; HEAVY-METALS; CHEJU ISLAND; COATS LAND; SNOW; ATMOSPHERE; SULFUR; DEPOSITION</t>
  </si>
  <si>
    <t>The annual cycles of major metals and ions in suspended particulate matters (SPM) have been investigated at a costal site of the Antarctic Peninsula in order to elucidate temporal variations as well as major source processes responsible for their formation. The measurements had been performed from January 2000 to December 2001 at the Korean Antarctic research station, 'King Sejong' (62degrees13' S, 58degrees47'W). The observed time series of important aerosol components showed clear seasonal variation patterns, while the mean elemental concentrations (e.g., 1875 (Al), 10.3 (Ba), 0.3 (Bi), 1.3 (Cd), 1.7 pg m(-3) (Co)) were generally compatible with those reported previously. The presence of high EF values with respect to both mean crustal and seawater composition (such as Bi, Cd, Cr, Cu, Ni, V, and Zn), however, suggests a possibly important role of anthropogenic processes in this remote site. In contrast, the concentrations of ionic species were not clearly distinguishable from those of other Antarctic sites; but the consideration of ionic mass balance between cations and anions pointed out the uniqueness of their source/sink processes in the study area. The major source processes of those aerosol components were also investigated using a series of statistical analyses. The overall results of our study indicated the dominance of several processes (or sources) such as sea-salt emission, secondary aerosol formation, and anthropogenic pollution from both local and distant sources. (C) 2004 Elsevier Ltd. All rights reserved.</t>
  </si>
  <si>
    <t>Sejong Univ, Dept Earth &amp; Environm Sci, Seoul 143747, South Korea; Korea Ocean Res &amp; Dev Inst, Korea Polar Res Inst, Ansan 425600, South Korea</t>
  </si>
  <si>
    <t>Sejong University; Korea Institute of Ocean Science &amp; Technology (KIOST); Korea Polar Research Institute (KOPRI)</t>
  </si>
  <si>
    <t>Sejong Univ, Dept Earth &amp; Environm Sci, Goon Ja Dong 98, Seoul 143747, South Korea.</t>
  </si>
  <si>
    <t>khkim@sejong.ac.kr</t>
  </si>
  <si>
    <t>Kim, Ki-Hyun/I-8499-2018</t>
  </si>
  <si>
    <t>Kim, Ki-Hyun/0000-0003-0487-4242</t>
  </si>
  <si>
    <t>10.1016/j.atmosenv.2004.03.052</t>
  </si>
  <si>
    <t>836QE</t>
  </si>
  <si>
    <t>WOS:000222569800015</t>
  </si>
  <si>
    <t>Tomasi, C; Cacciari, A; Vitale, V; Lupi, A; Lanconelli, C; Pellegrini, A; Grigioni, P</t>
  </si>
  <si>
    <t>Mean vertical profiles of temperature and absolute humidity from a 12-year radiosounding data set at Terra Nova Bay (Antarctica)</t>
  </si>
  <si>
    <t>ATMOSPHERIC RESEARCH</t>
  </si>
  <si>
    <t>Antarctic atmosphere; radiosounding data analysis; temperature vertical profiles; absolute humidity in the troposphere; moisture conditions in the low stratosphere</t>
  </si>
  <si>
    <t>WATER-VAPOR; STRATOSPHERE; RADIOSONDES; VALIDATION; AEROSOL</t>
  </si>
  <si>
    <t>A set of 1330 radiosoundings was performed at the Italian station of Terra Nova Bay in Antarctica during 12 measurement campaigns from 1987 to 1998. These measurements were separately analyzed for the various 10-day periods from mid-October to mid-February, to determine the mean vertical profiles of air pressure and temperature in the troposphere and lower stratosphere, and those of moisture parameters in the troposphere. The temperature data were corrected for the errors due to radiation and heat exchange processes and for the lag errors of the sensor. Due to temperature dependence and other dry bias effects, the humidity errors were also taken into account. The tropospheric temperature was found to present average values of its vertical gradient varying between - 5.4 and - 6.3 K/km, while its minimum height associated with the tropopause gradually lowered from 13.7 to 7.9 km. Total water vapor content increased correspondingly from 0.12 to 0.36 g cm(-2) during the first two months and decreased to 0.26 g cm(-2) in the following period. Stratospheric temperature was observed to increase during the first 2 months by about 15 K in the region below the 24-km height and to appreciably decrease at upper levels, maintaining almost stable features during the subsequent months. (C) 2004 Elsevier B.V. All rights reserved.</t>
  </si>
  <si>
    <t>Carlos Gavazzi Space SpA, ISAC, CNR, I-40129 Bologna, Italy; CR Casaccia, ENEA Antarct Project, I-00060 Rome, Italy; CR Casaccia, ENEA Climate Sect, I-00060 Rome, Italy</t>
  </si>
  <si>
    <t>Consiglio Nazionale delle Ricerche (CNR); Istituto di Scienze dell'Atmosfera e del Clima (ISAC-CNR); Italian National Agency New Technical Energy &amp; Sustainable Economics Development; Italian National Agency New Technical Energy &amp; Sustainable Economics Development</t>
  </si>
  <si>
    <t>Tomasi, C (corresponding author), Carlos Gavazzi Space SpA, ISAC, CNR, Via Gobetti 101, I-40129 Bologna, Italy.</t>
  </si>
  <si>
    <t>c.tomasi@isac.cnr.it</t>
  </si>
  <si>
    <t>Grigioni, paolo/AAH-5193-2020; Lanconelli, Christian/Q-5848-2018; vitale, vito/AAW-8441-2021; Pellegrini, Andrea/O-3094-2015</t>
  </si>
  <si>
    <t>Lanconelli, Christian/0000-0002-9545-1255; vitale, vito/0000-0003-0978-8976; lupi, angelo/0000-0002-5009-9876; Pellegrini, Andrea/0000-0001-5577-7472</t>
  </si>
  <si>
    <t>0169-8095</t>
  </si>
  <si>
    <t>1873-2895</t>
  </si>
  <si>
    <t>ATMOS RES</t>
  </si>
  <si>
    <t>Atmos. Res.</t>
  </si>
  <si>
    <t>10.1016/j.atmosres.2004.03.009</t>
  </si>
  <si>
    <t>854KE</t>
  </si>
  <si>
    <t>WOS:000223900700003</t>
  </si>
  <si>
    <t>McGowran, B; Holdgate, GR; Li, Q; Gallagher, SJ</t>
  </si>
  <si>
    <t>Cenozoic stratigraphic succession in southeastern Australia</t>
  </si>
  <si>
    <t>AUSTRALIAN JOURNAL OF EARTH SCIENCES</t>
  </si>
  <si>
    <t>Australia; Cenozoic; climatic change; correlations; marine transgression; palaeoenvironments; stratigraphy; unconformities</t>
  </si>
  <si>
    <t>COOL-WATER CARBONATE; SHALLOW BURIAL DOLOMITIZATION; MIOCENE ISOTOPE STRATIGRAPHY; ARC-CONTINENT COLLISION; CENTRAL INDIAN-OCEAN; ANTARCTIC ICE-SHEET; ENTRANCE OIL SHAFT; SOUTHERN AUSTRALIA; GIPPSLAND BASIN; OTWAY BASIN</t>
  </si>
  <si>
    <t>Strata of Cenozoic age occur around the southern margin of Australia as thin and discontinuous outcrops, interpolated and fleshed out by economic exploration onshore and offshore. The neritic strata fall into four sequences or allostratigraphic packages of (I) Paleocene-Early Eocene, (II) Middle Eocene-Early Oligocene, (III) Late Oligocene-Middle Miocene, and (IV) Late Miocene-Holocene age: a four-part pattern that can be seen also in the flanking pelagic and terrestrial realms including regolith deep weathering. Problems of correlation and age determination (predominantly biostratigraphic) have included biogeographical constraints (endemism in neritic molluscs and terrestrial palynomorphs, mid-latitude assemblages in calcareous plankton), and slow progress in magnetostratigraphy and chemostratigraphy. Sequence I largely repeats the Cretaceous siliciclastic-coal, marginal-marine facies (carbonate-poor, with marine and non-marine palynomorphs and agglutinated foraminifers) punctuated by marine ingressions with microfaunas and sparse macrofaunas. Sequence II contains the first carbonates in the region since the Palaeozoic and the most extensive cools of the Cenozoic anywhere. Sequence III contains the most extensive neritic carbonates and the last major coals. Sequence IV is more strongly siliciclastic than the two preceding. Each of these four second-order entities (10(7) years duration) comprises third-order packages each with an unconformity and marine transgression. These packages hold true right along the southern Australian margin in the sense that the hiatuses and transgression do not display significant diachroneity at the relevant time-scales (10(5)-10(6) years). Recognised, delimited and correlated independently of the putatively global Exxon sequences, they are remarkably consistent with the latter, thereby providing a significant regional test. There are two widespread emphases on southern Australian geohistory and biohistory: (I) to regard the regional story as part of the global story of accreting continents, an expiring Tethys, and an episodically cooling planet; and (II) a somewhat contrary emphasis, with the region being a special case of rapid longitudinal motion towards the equator. Both emphases are plausible with the former being the more heuristic. The stratigraphic record is strongly punctuated, the four sequences being separated by both tectonic and climatic events. Thus: the sequence I/II gap involved extensive plate-tectonic reorganisation and a new spreading regime from ca 43 Ma, coevally with early growth of Antarctic ice; in the II/III gap, deformation in marginal basins is coeval with a global low in cooling, large ice sheet and falling sea-level to co 30 Ma; and the III/IV gap is marked by widespread cessation or contraction of stratal accumulation and withdrawal of thermophilic taxa coevally with the major expansion at ca 14 Ma of the Antarctic ice sheet, onset of intense canyon cutting, and plate-wide basin inversion.</t>
  </si>
  <si>
    <t>Univ Adelaide, Sch Earth &amp; Environm Sci, Adelaide, SA 5005, Australia; Univ Melbourne, Sch Earth Sci, Melbourne, Vic 3010, Australia</t>
  </si>
  <si>
    <t>University of Adelaide; University of Melbourne; Melbourne Bioinformatics</t>
  </si>
  <si>
    <t>Univ Adelaide, Sch Earth &amp; Environm Sci, Adelaide, SA 5005, Australia.</t>
  </si>
  <si>
    <t>brian.mcgowran@adelaide.edu.au</t>
  </si>
  <si>
    <t>0812-0099</t>
  </si>
  <si>
    <t>1440-0952</t>
  </si>
  <si>
    <t>AUST J EARTH SCI</t>
  </si>
  <si>
    <t>Aust. J. Earth Sci.</t>
  </si>
  <si>
    <t>10.1111/j.1400-0952.2004.01078.x</t>
  </si>
  <si>
    <t>866WS</t>
  </si>
  <si>
    <t>WOS:000224804700001</t>
  </si>
  <si>
    <t>Whitehead, JM; Harwood, DM; McKelvey, BC; Hambrey, MJ; McMinn, A</t>
  </si>
  <si>
    <t>Diatom biostratigraphy of the Cenozoic glaciomarine Pagodroma Group, northern Prince Charles Mountains, East Antarctica</t>
  </si>
  <si>
    <t>Antarctic Ice Sheet; Cenozoic; diatoms; Pagodroma Group; Prince Charles Mountains</t>
  </si>
  <si>
    <t>ICE-SHEET; SORSDAL FORMATION; VESTFOLD HILLS; SOUTHERN-OCEAN; SIRIUS GROUP; AMERY OASIS; LAKE AREA; DOME-C; NEOGENE; SEDIMENTS</t>
  </si>
  <si>
    <t>In the northern Prince Charles Mountains glaciomarine sediments of the Pagodroma Group outcrop on Fisher Massif (Mt Johnston and Fisher Bench Formations) and at the Amery Oasis (Battye Glacier and Bardin Bluffs Formations), at locations 300 and 250 km south of the Amery Ice Shelf edge, respectively. Most of the Pagodroma Group consists of ice-proximal glaclomarine diamict, and a much subordinate (&lt;2%) amount of more ice-distal mudstone. Microfossil biostratigraphy based upon in situ and glacially reworked diatoms constrains the ages of the four formations, and identifies at least six intervals of marine fjordal deposition. Sparse diatoms in Mt Johnston Formation diamicts indicate an Early Oligocene age. However, it is unclear whether these diatoms are in situ or else are glacially reworked and represent either on immediately prior or more remote past interglacial. The Battye. Glacier and Fisher Bench Formations contain in situ diatoms and are broadly time equivalent, the former dating between 10.7 and 9.0 Ma and the latter between 12.1 or 10.7 Ma and 8.5 Ma. In situ diatoms indicate the Bardin Bluffs Formation to have been deposited between 2.6 and either 1.8 or 0.99 Mo. Glacially reworked diatoms in the Bardin Bluffs and Fisher Bench Formations identify four depositional intervals. The reworked taxa are sourced from Eocene-Oligocene (&gt;30.1 Ma), Middle Miocene (14.5-12.5 Ma and 12.1-11.5 Ma), Early Pliocene (4.9-3.6 Ma) and, tentatively, Late Pliocene (3.4-2,6 Ma) strata. These microfossil data further develop the interpretation that the Pagodroma Group formed during episodes of reduced glacial extent when, in the absence of an ice shelf, marine waters penetrated far southwards into the Lambert Graben of East Antarctica.</t>
  </si>
  <si>
    <t>Univ Tasmania, Inst Antarctic &amp; So Ocean Studies, Hobart, Tas 7005, Australia; Univ Nebraska, Dept Geosci, Lincoln, NE USA; Univ New England, Div Earth Sci, Armidale, NSW 2351, Australia; Univ Wales, Inst Geog &amp; Earth Sci, Ctr Glaciol, Aberystwyth SY23 3DB, Ceredigion, Wales</t>
  </si>
  <si>
    <t>University of Tasmania; University of Nebraska System; University of Nebraska Lincoln; University of New England; Aberystwyth University</t>
  </si>
  <si>
    <t>Whitehead, JM (corresponding author), Univ Tasmania, Inst Antarctic &amp; So Ocean Studies, Hobart, Tas 7005, Australia.</t>
  </si>
  <si>
    <t>jason.whitehead@utas.edu.au</t>
  </si>
  <si>
    <t>BLACKWELL PUBLISHING ASIA</t>
  </si>
  <si>
    <t>CARLTON</t>
  </si>
  <si>
    <t>54 UNIVERSITY ST, P O BOX 378, CARLTON, VICTORIA 3053, AUSTRALIA</t>
  </si>
  <si>
    <t>10.1111/j.1400-0952.2004.01072.x</t>
  </si>
  <si>
    <t>WOS:000224804700003</t>
  </si>
  <si>
    <t>Schmidt, LL; Wood, J; Lugg, DJ</t>
  </si>
  <si>
    <t>Team climate at Antarctic research stations 1996-2000: Leadership matters</t>
  </si>
  <si>
    <t>Antarctic; leadership effectiveness; social isolation; demographic diversity; group cohesion</t>
  </si>
  <si>
    <t>WORK-GROUP DIVERSITY; GENDER; PERFORMANCE; PSYCHOLOGY; TIME; TASK</t>
  </si>
  <si>
    <t>Introduction: The popular assumption is that extreme environments induce a climate of hostility, incompatibility, and tension by intensifying differences and disagreements among team members. Team members' perceptions of team climate are likely to change over time in an extreme environment, and thus team climate should be considered as a dynamic outcome variable resulting from multiple factors. In order to explore team climate as a dynamic outcome, we explored whether variables at multiple levels of analysis contributed to team climate over time for teams living and working in Antarctica. Method: Data for this study were collected from volunteers involved in Australian National Antarctic Research Expeditions conducted from 1996 to 2000. Multilevel analysis was used to partition and estimate the variance in team climate and to explore factors explaining variance at the group/team, individual, and weekly levels. Results: Most of the variance in perceptions of team climate was at the individual level (57%). Team climate had less variance at the group level (16%) and at the weekly level (26%). Results indicated that perceived leadership effectiveness was significantly related to team climate. Perceived leadership effectiveness accounted for an estimated 77% of the group level variance, which equated to 14% of the overall variance in team climate. Discussion: Our results suggest that exploring the characteristics and behaviors that constitute effective leadership would contribute to a more complete and useful picture of team climate, as well as guide selection research.</t>
  </si>
  <si>
    <t>NASA, JSC, Biobehav Lab, Houston, TX 77058 USA; NASA, HQ, Off Chief Med Officer, Washington, DC 20546 USA; Univ Houston, Dept Psychol, Houston, TX USA</t>
  </si>
  <si>
    <t>National Aeronautics &amp; Space Administration (NASA); NASA Johnson Space Center; National Aeronautics &amp; Space Administration (NASA); University of Houston System; University of Houston</t>
  </si>
  <si>
    <t>NASA, JSC, Biobehav Lab, SK3,Nasa Rd 1, Houston, TX 77058 USA.</t>
  </si>
  <si>
    <t>jwood@ems.jsc.nasa.gov</t>
  </si>
  <si>
    <t>Schmidt, Lacey/0000-0002-2639-949X</t>
  </si>
  <si>
    <t>1943-4448</t>
  </si>
  <si>
    <t>842KY</t>
  </si>
  <si>
    <t>WOS:000223004200006</t>
  </si>
  <si>
    <t>Krishnan, VV; Fink, WH; Feeney, RE; Yeh, Y</t>
  </si>
  <si>
    <t>Translational dynamics of antifreeze glycoprotein in supercooled water</t>
  </si>
  <si>
    <t>BIOPHYSICAL CHEMISTRY</t>
  </si>
  <si>
    <t>supercooled water; protein; self-diffusion; antifreeze glycoprotein (AFGP)</t>
  </si>
  <si>
    <t>SELF-DIFFUSION COEFFICIENT; HYDRODYNAMIC PROPERTIES; GLOBULAR-PROTEINS; NMR RELAXATION; FIELD-GRADIENT; ANTARCTIC FISH; GLYCOPEPTIDES; SPECTROSCOPY; TEMPERATURE; COMPLEX</t>
  </si>
  <si>
    <t>Structure and dynamics of biomolecules in supercooled water assume a particular and distinct importance in the case of antifreeze glycoproteins (AFGPs), which function at sub-zero temperatures. To investigate whether any large-scale structural digressions in the supercooled state are correlated to the function of AFGPs, self-diffusion behavior of the AFGP8, the smallest AFGP is monitored as a function of temperature from 243 to 303 K using nuclear magnetic resonance (NMR) spectroscopy. The experimental results are compared with the hydrodynamic calculations using the viscosity of water at the same temperature range. In order to evaluate results on AFGP8, the smallest AFGP, constituting approximately two-thirds of the total AFGP fraction in fish blood serum, similar experimental and computational calculations were also performed on a set of globular proteins. These results show that even though the general trend of translational dynamics of AFGP is similar to that of the other globular proteins, AFGP8 appears to be more hydrated (approximately 30% increase in the bead radius) than the others over the temperature range studied. These results also suggest that local conformational changes such as segmental librations or hydrogen bond dynamics that are closer to the protein surface are more likely the determining dynamic factors for the function of AFGPs rather than any large-scale structural rearrangements. (C) 2004 Elsevier B.V. All rights reserved.</t>
  </si>
  <si>
    <t>Lawrence Livermore Natl Lab, Mol Biophys Grp, Biol &amp; Biotechnol Res Program, Livermore, CA 94551 USA; Univ Calif Davis, Dept Chem, Davis, CA 95616 USA; Univ Calif Davis, Dept Food Sci &amp; Technol, Davis, CA 95616 USA; Univ Calif Davis, Dept Appl Sci, Davis, CA 95616 USA</t>
  </si>
  <si>
    <t>United States Department of Energy (DOE); Lawrence Livermore National Laboratory; University of California System; University of California Davis; University of California System; University of California Davis; University of California System; University of California Davis</t>
  </si>
  <si>
    <t>Krishnan, VV (corresponding author), Lawrence Livermore Natl Lab, Mol Biophys Grp, Biol &amp; Biotechnol Res Program, Livermore, CA 94551 USA.</t>
  </si>
  <si>
    <t>krish@llnl.gov</t>
  </si>
  <si>
    <t>Krishnan, Krish/A-6859-2010</t>
  </si>
  <si>
    <t>0301-4622</t>
  </si>
  <si>
    <t>BIOPHYS CHEM</t>
  </si>
  <si>
    <t>Biophys. Chem.</t>
  </si>
  <si>
    <t>10.1016/j.bpc.2004.02.005</t>
  </si>
  <si>
    <t>Biochemistry &amp; Molecular Biology; Biophysics; Chemistry, Physical</t>
  </si>
  <si>
    <t>Biochemistry &amp; Molecular Biology; Biophysics; Chemistry</t>
  </si>
  <si>
    <t>836XM</t>
  </si>
  <si>
    <t>WOS:000222589500003</t>
  </si>
  <si>
    <t>Martin, AR; da Silva, VMF</t>
  </si>
  <si>
    <t>Number, seasonal movements, and residency characteristics of river dolphins in an Amazonian floodplain lake system</t>
  </si>
  <si>
    <t>CANADIAN JOURNAL OF ZOOLOGY-REVUE CANADIENNE DE ZOOLOGIE</t>
  </si>
  <si>
    <t>BOTOS INIA-GEOFFRENSIS</t>
  </si>
  <si>
    <t>The size and structure of a community of Amazon river dolphins or botos, Inia geoffrensis (de Blainville, 1817), was investigated using boat surveys and long-term observations of recognisable animals. Year-round, some 260 botos occurred in or near the 225-km(2) Mamiraua varzea floodplain lake system, of which half were permanent residents by our definition. Seasonal variation in water levels influenced distribution between habitats but not the overall number of botos. Ninety percent of marked botos encountered within the lake system were permanent residents. There appeared to be a cline in site fidelity between those that always live in or near the system and those that visit at intervals of years. We estimated that 270 botos were significant users of the lake system (i.e., occurred within it for sufficient periods in a year to be observed at least once) and that many others visited for short periods. Individuals moved many tens to hundreds of kilometres along the rivers, but there was no broad-scale seasonal migration. The boto population of the central Amazon, at least, may be structured on the basis of floodplain lake systems, with extensive animal movement between systems. We estimate that 13 000 botos occur in the 11240 km(2) Mamirauna Sustainable Development Reserve, which covers an estimated 11%-18% of varzea habitat in Brazil.</t>
  </si>
  <si>
    <t>Univ St Andrews, Gatty Marine Lab, Sea Mammal Res Unit, Natl Environm Res Council, St Andrews KY16 8LB, Fife, Scotland; Inst Nacl Pesquisas Amazonias, Lab Mamiferos Aquat, BR-69011790 Manaus, Amazonas, Brazil</t>
  </si>
  <si>
    <t>University of St Andrews</t>
  </si>
  <si>
    <t>Martin, AR (corresponding author), British Antarctic Survey, High Cross,Madingley Rd, Cambridge CB3 OET, England.</t>
  </si>
  <si>
    <t>arm@bas.ac.uk</t>
  </si>
  <si>
    <t>NATL RESEARCH COUNCIL CANADA</t>
  </si>
  <si>
    <t>RESEARCH JOURNALS, MONTREAL RD, OTTAWA, ONTARIO K1A 0R6, CANADA</t>
  </si>
  <si>
    <t>0008-4301</t>
  </si>
  <si>
    <t>CAN J ZOOL</t>
  </si>
  <si>
    <t>Can. J. Zool.-Rev. Can. Zool.</t>
  </si>
  <si>
    <t>10.1139/Z04-109</t>
  </si>
  <si>
    <t>879BT</t>
  </si>
  <si>
    <t>WOS:000225692100016</t>
  </si>
  <si>
    <t>Wang, JX; Yao, TD; Xu, BQ; Wu, GJ; Xiang, SR</t>
  </si>
  <si>
    <t>Formate and acetate records in the Muztagata ice core, northwest Tibetan Plateau</t>
  </si>
  <si>
    <t>Muztagata; ice core; formate; acetate; Tibetan Plateau</t>
  </si>
  <si>
    <t>LIGHT CARBOXYLIC-ACIDS; GREENLAND ICE; ORGANIC-ACIDS; ANTARCTIC ICE; FOREST-FIRES; METHANESULFONATE; PRECIPITATION; AMMONIUM; IONS</t>
  </si>
  <si>
    <t>Formate and acetate concentrations are measured in a 22.56 in-depth ice core recovered in Mt. Muztagata Glacier, northwest Tibetan Plateau. The mean concentrations for formate and acetate in this ice core are 186.6+/-160.1 and 136.4+/-133.9 ng/g, respectively. Study shows that there is a positive correlation between formate and nitrate, suggesting both continental origins. However, no significant relationship has been found between formate and acetate, though they both have obvious periodical variations. Because Mt. Muztagata lies in the mid-latitude and is correlative to the nearby human activities, formate and acetate concentrations are higher than those in Greenland and Antarctica. During recent decades, the increase of formate concentration in the Muztagata ice core and formaldehyde production shows a close correlation. We preliminarily presume that the high formate concentration in the Muztagata ice core is concerned with the thriving of house decoration in which excess formaldehyde was used.</t>
  </si>
  <si>
    <t>Chinese Acad Sci, Key Lab Ice Core &amp; Cold Reg Environm, Cold &amp; Arid Reg Environm &amp; Engn Res Inst, Lanzhou 730000, Peoples R China; Chinese Acad Sci, Inst Tibetan Plateau Res, Beijing 100085, Peoples R China</t>
  </si>
  <si>
    <t>Chinese Academy of Sciences; Cold &amp; Arid Regions Environmental &amp; Engineering Research Institute, CAS; Chinese Academy of Sciences; Institute of Tibetan Plateau Research, CAS</t>
  </si>
  <si>
    <t>Wang, JX (corresponding author), Chinese Acad Sci, Key Lab Ice Core &amp; Cold Reg Environm, Cold &amp; Arid Reg Environm &amp; Engn Res Inst, Lanzhou 730000, Peoples R China.</t>
  </si>
  <si>
    <t>wang-junxia@mails.gscas.ac.cn</t>
  </si>
  <si>
    <t>WANG, JINGYI/GSJ-1241-2022</t>
  </si>
  <si>
    <t>10.1360/03wd0418</t>
  </si>
  <si>
    <t>860CA</t>
  </si>
  <si>
    <t>WOS:000224314400012</t>
  </si>
  <si>
    <t>Braga, ES; Andrié, C; Bourlès, B; Vangriesheim, A; Baurand, F; Chuchla, R</t>
  </si>
  <si>
    <t>Congo River signature and deep circulation in the eastern Guinea Basin</t>
  </si>
  <si>
    <t>Angola Basin; Congo canyon; turbidity; deep circulation; oxygen; silicate nutrients</t>
  </si>
  <si>
    <t>ANTARCTIC BOTTOM WATER; CHAIN FRACTURE-ZONES; ATLANTIC-OCEAN; EQUATORIAL ATLANTIC; ANGOLA BASIN; ZAIRE RIVER; SEA FAN; SUBMARINE CANYONS; SUSPENDED MATTER; SOUTH-ATLANTIC</t>
  </si>
  <si>
    <t>Cruises since 1976, have allowed identification of oxygen and silicate anomalies within the Guinea Basin at around 4000m depth, particularly above the Congo River fan. The EQUALANT cruise in 2000 was an opportunity to revisit this area and to study such anomalies through hydrological and chemical analyses as well as current and turbidity measurements. The main goal was to determine the possible origins, the distribution and the fate of these signals and their spreading along the African continent. The shape of the oxygen, nutrient and turbidity profiles was the first evidence of this phenomenon and an observation of a silicate-oxygen anti-correlation indicates regeneration processes associated with recently deposited particulate material, carried to depth along the Congo channel. This is a special aspect of the morphology of this river. Turbidity events are observed to be dispersed offshore within the ocean and along the slope at around 4000m depth. While previous studies have shown southward propagation of the Congo signature, this study shows it to occur as far as 7degreesW-5degreesN, off Ivory Coast, near the 4000m isobath, therefore demonstrating a northward propagation in this depth range. (C) 2004 Elsevier Ltd. All rights reserved.</t>
  </si>
  <si>
    <t>Univ Sao Paulo, Inst Oceanog, Sao Paulo, Brazil; UPMC, CNRS, IRD, Lab Oceanog Dynam &amp; Climatol, Paris, France; Inst Rech Dev, Plouzane, France; IFREMER, DRO, EP, Plouzane, France</t>
  </si>
  <si>
    <t>Universidade de Sao Paulo; Institut de Recherche pour le Developpement (IRD); Sorbonne Universite; Centre National de la Recherche Scientifique (CNRS); Institut de Recherche pour le Developpement (IRD); Ifremer</t>
  </si>
  <si>
    <t>Braga, ES (corresponding author), Univ Sao Paulo, Inst Oceanog, Praca Oceanog,191 Cidade Univ, Sao Paulo, Brazil.</t>
  </si>
  <si>
    <t>edsbraga@usp.br</t>
  </si>
  <si>
    <t>Braga, Elisabete/E-5285-2012; Bernard, BOURLES/I-4673-2015</t>
  </si>
  <si>
    <t>Braga, Elisabete/0000-0001-5780-3814; Bernard, BOURLES/0000-0001-6515-4519</t>
  </si>
  <si>
    <t>10.1016/j.dsr.2004.03.005</t>
  </si>
  <si>
    <t>843JL</t>
  </si>
  <si>
    <t>WOS:000223074800004</t>
  </si>
  <si>
    <t>Skipperud, L; Oughton, DH</t>
  </si>
  <si>
    <t>Use of AMS in the marine environment</t>
  </si>
  <si>
    <t>ENVIRONMENT INTERNATIONAL</t>
  </si>
  <si>
    <t>accelerator mass spectrometry (AMS); isotope techniques; C-14; Be-10; Cl-36; Pu-isotopes; marine environment</t>
  </si>
  <si>
    <t>ACCELERATOR MASS-SPECTROMETRY; ICE CORE; ANTARCTIC ICE; BE-10; GREENLAND; BERYLLIUM-10; SYSTEMATICS; MODULATION; SUBDUCTION; ISOTOPES</t>
  </si>
  <si>
    <t>In recent years, the field of AMS has expanded into many areas of science. This paper reviews a variety of applications of AMS in the marine environment, focusing particularly on recent developments and applications. Following a brief summary of the three main isotope techniques used in environmental studies: dating, tracing and source identification, a number of applications are considered. Traditional C-14- dating is no longer the dominant application of AMS measurements, and together with measurements of Be-10, Al-26 and Cl-36, much of the research is now directed towards an understanding of global climate change via studies of oceanic circulation, atmospheric processes and past climates by cosmic ray exposure dating. Profiles of long-lived cosmogenic radionuclides in sediments and ice cores, as a function of depth and, thus, age, provide key information on past solar variability, production rate changes and atmospheric transport and deposition mechanisms. Useful paleoclimatic information may be derived from these archives both because deposition is influenced by climate and because solar activity (which influences production) and solar radiance (which influences climate) are correlated. In recent years, emphasis has been put on the development and application of AMS techniques for the measurement of heavier long-lived isotopes, including Tc-99, I-129, U-236 and other actinide isotopes. AMS combines ultra low detection limits and the possibility to analyse isotope ratios that can be difficult with traditional instruments and has been used in a number of applications on the consequences and uses of releases from nuclear energy. Finally, the use AMS in environmental sciences is expected to expand further in the foreseeable future with long-lived cosmogenic radionuclides contributing to a large body of knowledge on processes involving atmosphere, oceans, ice sheets, biosphere, soils and sediments. (C) 2003 Elsevier B.V. All rights reserved.</t>
  </si>
  <si>
    <t>Agr Univ Norway, Dept Soil &amp; Water Sci, Isotope Lab, N-1432 As, Norway</t>
  </si>
  <si>
    <t>Norwegian University of Life Sciences</t>
  </si>
  <si>
    <t>Skipperud, L (corresponding author), Agr Univ Norway, Dept Soil &amp; Water Sci, Isotope Lab, POB 5028, N-1432 As, Norway.</t>
  </si>
  <si>
    <t>lindis.skipperud@ijvf.nlh.no</t>
  </si>
  <si>
    <t>Skipperud, Lindis/0000-0001-5249-0409</t>
  </si>
  <si>
    <t>0160-4120</t>
  </si>
  <si>
    <t>1873-6750</t>
  </si>
  <si>
    <t>ENVIRON INT</t>
  </si>
  <si>
    <t>Environ. Int.</t>
  </si>
  <si>
    <t>10.1016/j.envint.2003.09.002</t>
  </si>
  <si>
    <t>823CO</t>
  </si>
  <si>
    <t>WOS:000221587500008</t>
  </si>
  <si>
    <t>Coulon, F; Pelletier, E; St Louis, R; Gourhant, L; Delille, D</t>
  </si>
  <si>
    <t>Degradation of petroleum hydrocarbons in two sub-Antarctic soils: Influence of an oleophilic fertilizer</t>
  </si>
  <si>
    <t>ENVIRONMENTAL TOXICOLOGY AND CHEMISTRY</t>
  </si>
  <si>
    <t>hydrocarbon degradation; sub-Antarctic soils; cold climate; oleophilic fertilizer; hydrocarbon toxicity</t>
  </si>
  <si>
    <t>POLYCYCLIC AROMATIC-HYDROCARBONS; OIL CONTAMINATED SOILS; CRUDE-OIL; MARINE-ENVIRONMENT; DIESEL FUEL; BIOREMEDIATION; BIODEGRADATION; MICROORGANISMS; TOXICITY; SEDIMENT</t>
  </si>
  <si>
    <t>In order to determine the long-term effects of fertilizer on the degradation rate and the toxicity of hydrocarbons in sub-Antarctic soils contaminated by petroleum hydrocarbons, a field study was initiated in December 2000 on two different soils of the Kerguelen Islands (69degrees42'E, 49degrees19'S). The number of hydrocarbon-degrading bacteria (HDB) increased greatly after crude-oil and diesel-fuel contamination, and the fertilizer addition had a favorable effect on HDB growth and activity. Hydrocarbon-degrading bacteria counts remained high until the end of the experiment although the total hydrocarbon content in all contaminated soils was reduced to 80 to 90% of their initial value after 330 d. Degradation of n-alkanes was enhanced significantly in the presence of the fertilizer, while the degradation of polycyclic aromatic hydrocarbons (PAHs) was only barely enhanced. Toxicity results showed a noticeable reduction with time, although toxicity remained present and important in both soils at the end of the experiment. In addition, fertilized plots showed a toxic signal greater than unfertilized ones. Overall results clearly show that fertilizer addition improves the rate of degradation of both oil contaminants. However, remaining toxic residues may constitute a drawback of the fertilizer-assisted biodegradation process at low temperatures.</t>
  </si>
  <si>
    <t>Univ Quebec, Inst Sci Mer Rimouski, ISMER, Rimouski, PQ G5L 3A1, Canada; Univ Paris 06, CNRS, UMR 7621, Lab Arago,Observ Oceanol Banyuls, F-66650 Banyuls sur Mer, France</t>
  </si>
  <si>
    <t>University of Quebec; Sorbonne Universite; Centre National de la Recherche Scientifique (CNRS); CNRS - National Institute for Earth Sciences &amp; Astronomy (INSU)</t>
  </si>
  <si>
    <t>Univ Quebec, Inst Sci Mer Rimouski, ISMER, 310 Allee Ursulines, Rimouski, PQ G5L 3A1, Canada.</t>
  </si>
  <si>
    <t>emilien_pelletier@uqar.qc.ca</t>
  </si>
  <si>
    <t>Coulon, Frederic/0000-0002-4384-3222; Gourhant, Lenaick/0000-0002-5761-8480</t>
  </si>
  <si>
    <t>0730-7268</t>
  </si>
  <si>
    <t>1552-8618</t>
  </si>
  <si>
    <t>ENVIRON TOXICOL CHEM</t>
  </si>
  <si>
    <t>Environ. Toxicol. Chem.</t>
  </si>
  <si>
    <t>10.1897/03-484</t>
  </si>
  <si>
    <t>Environmental Sciences; Toxicology</t>
  </si>
  <si>
    <t>Environmental Sciences &amp; Ecology; Toxicology</t>
  </si>
  <si>
    <t>838VC</t>
  </si>
  <si>
    <t>WOS:000222740400012</t>
  </si>
  <si>
    <t>Jacobs, J; Thomas, RJ</t>
  </si>
  <si>
    <t>Himalayan-type indenter-escape tectonics model for the southern part of the late Neoproterozoic-early Paleozoic East African-Antarctic orogen</t>
  </si>
  <si>
    <t>Gondwana; tectonic escape; East African-Antarctic orogen; shear zone; delamination</t>
  </si>
  <si>
    <t>DRONNING MAUD LAND; MOZAMBIQUE BELT; GRENVILLE-AGE; COLLISION; ZIRCON; METAMORPHISM; EVENTS</t>
  </si>
  <si>
    <t>The East African-Antarctic orogen is one of the largest orogenic belts on the planet. It resulted from the collision of various parts of proto-East and West Gondwana during late Neoproterozoic-early Paleozoic time (between 650 and 500 Ma). We propose that the southern part of this Himalayan-type orogen can be interpreted in terms of a lateral-escape tectonic model. Modern Gondwana reconstructions show that the southern part of the East African-Antarctic orogen can best be reassembled when a number of microplates (the Falkland, Ellsworth-Haag, and Filchner blocks) are positioned between southern Africa and East Antarctica. This microplate assemblage is unusual. The microplates probably represent shear-zone-bounded blocks, produced by tectonic translation during lateral escape, similar to those currently evolving in Southeast Asia. One of the escape-related shear zones is exposed as the 20-km-wide Heimefront transpression zone in western Dronning Maud Land. Coats Land, a crustal block within the orogen, probably represents a block of older crust that was not subjected to tectonometamorphic reworking ca. 500 Ma by lateral tectonic escape. The southern part of the orogen is also typified by very large volumes of late-tectonic A2-type granitoids, intruded ca. 530-490 Ma, probably as a consequence of delamination of the orogenic root and the subsequent influx of hot asthenospheric mantle during tectonic escape. Erosional unroofing of the orogen is documented by the remnants of originally massive areas covered by Cambrian-Ordovician molasse-type sedimentary rocks throughout Africa, Arabia, and Antarctica, testifying to the past extent and size of this largest of orogens.</t>
  </si>
  <si>
    <t>Univ Bremen, FB Geowissensch, D-28334 Bremen, Germany; British Geol Survey, Keyworth NG12 5GG, Notts, England</t>
  </si>
  <si>
    <t>University of Bremen; UK Research &amp; Innovation (UKRI); Natural Environment Research Council (NERC); NERC British Geological Survey</t>
  </si>
  <si>
    <t>Univ Bremen, FB Geowissensch, PF 330440, D-28334 Bremen, Germany.</t>
  </si>
  <si>
    <t>jojacobs@uni-bremen.de</t>
  </si>
  <si>
    <t>10.1130/G20516.1</t>
  </si>
  <si>
    <t>843CH</t>
  </si>
  <si>
    <t>WOS:000223052600021</t>
  </si>
  <si>
    <t>Glasser, NF; Harrison, S; Winchester, V; Aniya, M</t>
  </si>
  <si>
    <t>Late Pleistocene and Holocene palaeoclimate and glacier fluctuations in Patagonia</t>
  </si>
  <si>
    <t>GLOBAL AND PLANETARY CHANGE</t>
  </si>
  <si>
    <t>Patagonia; glacier fluctuations; palacoclimate; Holocene</t>
  </si>
  <si>
    <t>RADIOCARBON AGE CALIBRATION; SANTA-CRUZ PROVINCE; TIERRA-DEL-FUEGO; SOUTH-AMERICA; CLIMATE-CHANGE; ICE-AGE; YOUNGER DRYAS; LAKE DISTRICT; PALEOENVIRONMENTAL CHANGES; ENVIRONMENTAL-CHANGE</t>
  </si>
  <si>
    <t>This paper presents the evidence for Late Pleistocene and Holocene palaeoclimate and glacier fluctuations of the two major icefields in Patagonia, the Hielo Patagonico Norte (47degrees00' S, 73degrees39' W) and the Hielo Patagonico Sur (between 48degrees51' S and 51degrees30' S). The palaeoenvironmental evidence suggests that glaciers still covered large areas of Patagonia at approximately 14,600 C-14 years BR Uniform and rapid warming took place after 13,000 C-14 years BP, with no unequivocal evidence for climate fluctuations equivalent to those of the Northern Hemisphere Younger Dryas cooling event (the Younger Dryas Chronozone, dated to 11,000-10,000 C-14 years BP (12,700-11,500 cal. years BP). During the early Holocene (10,000-5000 C-14 years BP) atmospheric temperatures east of the Andes were about 2 degreesC above modem values in the period 8500-6500 C-14 years BR The period between 6000 and 3600 C-14 years BP appears to have been colder and wetter than present, followed by an and phase from 3600 to 3000 C-14 years BP. From 3000 C-14 years BP to the present, there is evidence of a cold phase, with relatively high precipitation. West of the Andes, the available evidence points to periods of drier than present conditions between 9400-6300 and 2400-1600 C-14 years BP. Holocene glacier advances in Patagonia began around 5000 C-14 years BP, coincident with a strong climatic cooling around this time (the Neoglacial interval). Glacier advances can be assigned to one of three time periods following a 'Mercer-type' chronology, or one of four time periods following an 'Aniya-type' chronology. The 'Mercer-type' chronology has glacier advances 4700-4200 C-14 years BP; 2700-2000 C-14 years BP and during the Little Ice Age. The 'Aniya-type' chronology has glacier advances at 3600 C-14 years BP, 2300 C-14 years BP, 1600-1400 C-14 years BP and during the Little Ice Age. These chronologies are best regarded as broad regional trends, since there are also dated examples of glacier advances outside these time periods. Possible explanations for the observed patterns of glacier fluctuations in Patagonia include changes related to the internal characteristics of the icefields, changes in the extent of Antarctic sea-ice cover, atmospheric/oceanic coupling-induced climate variability, systematic changes in synoptic conditions and short-term variations in atmospheric temperature and precipitation. (C) 2004 Elsevier B.V. All rights reserved.</t>
  </si>
  <si>
    <t>Univ Coll Wales, Inst Geog &amp; Earth Sci, Ctr Glaciol, Aberystwyth SY23 3DB, Dyfed, Wales; Univ Oxford, Sch Geog &amp; Environm, Oxford OX1 3TB, England; Univ Tsukuba, Inst Geosci, Tsukuba, Ibaraki 3058571, Japan</t>
  </si>
  <si>
    <t>Aberystwyth University; University of Oxford; University of Tsukuba</t>
  </si>
  <si>
    <t>Univ Coll Wales, Inst Geog &amp; Earth Sci, Ctr Glaciol, Aberystwyth SY23 3DB, Dyfed, Wales.</t>
  </si>
  <si>
    <t>nfg@aber.ac.uk</t>
  </si>
  <si>
    <t>Glasser, Neil F/C-1971-2012</t>
  </si>
  <si>
    <t>Glasser, Neil/0000-0002-8245-2670</t>
  </si>
  <si>
    <t>Natural Environment Research Council [NER/B/S/2002/00282] Funding Source: researchfish</t>
  </si>
  <si>
    <t>0921-8181</t>
  </si>
  <si>
    <t>1872-6364</t>
  </si>
  <si>
    <t>GLOBAL PLANET CHANGE</t>
  </si>
  <si>
    <t>Glob. Planet. Change</t>
  </si>
  <si>
    <t>10.1016/j.gloplacha.2004.03.002</t>
  </si>
  <si>
    <t>852BB</t>
  </si>
  <si>
    <t>WOS:000223729100005</t>
  </si>
  <si>
    <t>Nádasdy, A</t>
  </si>
  <si>
    <t>The 'Antarctic wilderness'</t>
  </si>
  <si>
    <t>HUNGARIAN QUARTERLY</t>
  </si>
  <si>
    <t>Poetry</t>
  </si>
  <si>
    <t>M T I</t>
  </si>
  <si>
    <t>BUDAPEST</t>
  </si>
  <si>
    <t>8 NAPHEGY TER, H-1016 BUDAPEST, HUNGARY</t>
  </si>
  <si>
    <t>0028-5390</t>
  </si>
  <si>
    <t>HUNG QUART</t>
  </si>
  <si>
    <t>Hung. Q.</t>
  </si>
  <si>
    <t>Literary Reviews</t>
  </si>
  <si>
    <t>Literature</t>
  </si>
  <si>
    <t>865DF</t>
  </si>
  <si>
    <t>WOS:000224682000006</t>
  </si>
  <si>
    <t>Triantafillos, L; Jackson, GD; Adams, M; Steer, BLM</t>
  </si>
  <si>
    <t>An allozyme investigation of the stock structure of arrow squid Nototodarus gouldi (Cephalopoda: Ommastrephidae) from Australia</t>
  </si>
  <si>
    <t>allozyme electrophoresis; cephalopods; genetics; ommastrephids; squid populations</t>
  </si>
  <si>
    <t>POPULATION HETEROGENEITY; LOLIGO-FORBESI; COMPLEX; SYSTEMATICS; TIME</t>
  </si>
  <si>
    <t>Allozyme electrophoresis was used to examine the stock structure of arrow squid Nototodarus gouldi (McCoy 1888) from Australia. Samples collected from six localities around southern Australia, separated by distances of between 700 and 4300 km, were examined for allozyme variation at 48 loci. The data revealed no evidence of more than a single species among the 203 squid examined. Nine polymorphic loci were detected, although only three were sufficiently variable to provide real insight into the population structure of arrow squid. There were no significant deviations from Hardy-Weinberg expectations for any locus, population, or for the metapopulation. Pairwise comparisons of allele frequencies revealed minor evidence of stock structure, with the Iluka (north New South Wales) sample set displaying significant allelic differences from the Tasmanian sample set at Acyc and from the Ulladulla (south New South Wales) sample set at Sordh. F-statistics also provided weak support that the Australian metapopulation is not partmictic. Further studies are needed to delineate the degree of stock segregation within the Australian/New Zealand region in order to successfully manage the arrow squid fishery in these waters. (C) 2004 Published by Elsevier Ltd on behalf of International Council for the Exploration of the Sea.</t>
  </si>
  <si>
    <t>Univ Tasmania, Inst Antarctic &amp; So Ocean Studies, Hobart, Tas 7001, Australia; S Australian Museum, Evolut Biol Unit, Adelaide, SA 5000, Australia</t>
  </si>
  <si>
    <t>University of Tasmania</t>
  </si>
  <si>
    <t>Univ Tasmania, Inst Antarctic &amp; So Ocean Studies, Private Bag 77, Hobart, Tas 7001, Australia.</t>
  </si>
  <si>
    <t>10.1016/j.icesjms.2003.12.010</t>
  </si>
  <si>
    <t>847TM</t>
  </si>
  <si>
    <t>WOS:000223417800010</t>
  </si>
  <si>
    <t>Chinen, J; Shearer, WT</t>
  </si>
  <si>
    <t>Advances in asthma, allergy and immunology series 2004: Basic and clinical immunology</t>
  </si>
  <si>
    <t>JOURNAL OF ALLERGY AND CLINICAL IMMUNOLOGY</t>
  </si>
  <si>
    <t>immunology; regulatory T cells; immunodeficiency; HIV; gene therapy; lymphocyte subsets</t>
  </si>
  <si>
    <t>SEVERE COMBINED IMMUNODEFICIENCY; REGULATORY T-CELLS; GENE-THERAPY; HIV-1 REPLICATION; DEFICIENCY; RESPONSES; INFECTION; DISEASE; EXPRESSION; CHILDREN</t>
  </si>
  <si>
    <t>This review highlights some of the most significant advances in basic and clinical immunology that were published from August 2002 to December 2003, focusing on manuscripts that appeared in the Journal. Articles selected were those considered most relevant to Journal readers. With regard to basic immunology, this report includes articles describing FcepsilonRI expression in mucosal Langerhans cells and type II dendritic cells, mechanisms of T(H)1 and T(H)2 regulation, the role of Foxp3 in the development of CD4(+)CD25(+) regulatory T cells, and the increasing importance of Toll receptors in immunity. Articles related to clinical immunology that were selected include the first report of lymphocyte subsets values from a large cohort of normal children; the description of new genetic defects in primary immunodeficiencies; a description of the complications of gene therapy for X-linked severe combined immunodeficiency; a report of 79 patients with hyper-IgM syndrome; a report of the mechanism of action and complications of intravenous immunoglobulin; a report of new approaches for immunotherapy; and an article on advances in HIV infection and management, including a report of defensins, small molecules with anti-HIV properties. Also summarized is an article that studied the immune system during a prolonged stay in the Antarctic, a model for human studies on the effect of environmental conditions similar to space expeditions.</t>
  </si>
  <si>
    <t>NHGRI, Genet &amp; Mol Biol Branch, NIH, Bethesda, MD 20892 USA; Baylor Coll Med, Dept Pediat Allergy &amp; Immunol Sect, Houston, TX 77030 USA</t>
  </si>
  <si>
    <t>National Institutes of Health (NIH) - USA; NIH National Human Genome Research Institute (NHGRI); Baylor College of Medicine</t>
  </si>
  <si>
    <t>Chinen, J (corresponding author), NHGRI, Genet &amp; Mol Biol Branch, NIH, 49 Covent Dr,Bldg 49,Room 4A18, Bethesda, MD 20892 USA.</t>
  </si>
  <si>
    <t>jchinen@nhgri.nih.gov</t>
  </si>
  <si>
    <t>Shearer, William/0000-0002-2483-2130</t>
  </si>
  <si>
    <t>MOSBY, INC</t>
  </si>
  <si>
    <t>ST LOUIS</t>
  </si>
  <si>
    <t>11830 WESTLINE INDUSTRIAL DR, ST LOUIS, MO 63146-3318 USA</t>
  </si>
  <si>
    <t>0091-6749</t>
  </si>
  <si>
    <t>J ALLERGY CLIN IMMUN</t>
  </si>
  <si>
    <t>J. Allergy Clin. Immunol.</t>
  </si>
  <si>
    <t>10.1016/j.jaci.2004.05.036</t>
  </si>
  <si>
    <t>Allergy; Immunology</t>
  </si>
  <si>
    <t>847OU</t>
  </si>
  <si>
    <t>WOS:000223405600030</t>
  </si>
  <si>
    <t>Weiss, K; Gaud, R</t>
  </si>
  <si>
    <t>Formation and transformation of relational networks during an Antarctic winter-over</t>
  </si>
  <si>
    <t>JOURNAL OF APPLIED SOCIAL PSYCHOLOGY</t>
  </si>
  <si>
    <t>ENVIRONMENT; PSYCHOLOGY; EXPEDITION; MOOD; ICE</t>
  </si>
  <si>
    <t>In order to identify the effects of situational constraints on social behavior in a small isolated group, a systematic daily observation was conducted during a winter-over mission in a French research station in the Antarctic. This observation corresponded to participants' seating arrangements during meals and was supplemented by analysis of the physician's diary. We hypothesized that social stability would be an indicator of adaptation in this context. Both analyses highlighted the importance of the social relationships, even if they were not described in the diary as positive. The results underline the need for a relational balance, linked to stable but not exclusive social relations. Some indicators emphasized the end of the isolation period as one critical moment (actually I month before the end), with an expression of homesickness and greater negativity in the diary's descriptions of social relationships.</t>
  </si>
  <si>
    <t>Univ Paris 05, CNRS, UMR 8069, Lab Psychol Environm, F-92100 Boulogne, France; Univ Reims, Lab Social Appl Psychol, Reims, France</t>
  </si>
  <si>
    <t>Centre National de la Recherche Scientifique (CNRS); Universite Paris Cite; Universite de Reims Champagne-Ardenne</t>
  </si>
  <si>
    <t>Weiss, K (corresponding author), Univ Paris 05, CNRS, UMR 8069, Lab Psychol Environm, 71 Av Edouard Vaillant, F-92100 Boulogne, France.</t>
  </si>
  <si>
    <t>Weiss, Karine/0000-0001-6419-6629</t>
  </si>
  <si>
    <t>V H WINSTON &amp; SON INC</t>
  </si>
  <si>
    <t>PALM BEACH</t>
  </si>
  <si>
    <t>360 SOUTH OCEAN BLVD, PH-B, PALM BEACH, FL 33480 USA</t>
  </si>
  <si>
    <t>0021-9029</t>
  </si>
  <si>
    <t>J APPL SOC PSYCHOL</t>
  </si>
  <si>
    <t>J. Appl. Soc. Psychol.</t>
  </si>
  <si>
    <t>10.1111/j.1559-1816.2004.tb02787.x</t>
  </si>
  <si>
    <t>Psychology, Social</t>
  </si>
  <si>
    <t>Psychology</t>
  </si>
  <si>
    <t>873KZ</t>
  </si>
  <si>
    <t>WOS:000225280300002</t>
  </si>
  <si>
    <t>Singh, RP; Patel, RP</t>
  </si>
  <si>
    <t>Hiss-triggered chorus emissions at Indian stations</t>
  </si>
  <si>
    <t>hiss; triggered chorus emissions; whistler mode; backward wave oscillator</t>
  </si>
  <si>
    <t>VLF EMISSIONS; MAGNETOSPHERIC CHORUS; GENERATION MECHANISM; UPPER IONOSPHERE; PROPAGATION; POLAR; WAVES; DISTRIBUTIONS; FREQUENCY; SATELLITE</t>
  </si>
  <si>
    <t>Some examples of chorus emissions emanating from the upper edge of the underlying hiss events recorded at the Indian Antarctic Station Maitri (geomag. lat. = 62degreesS, long. 57.2degrees E, L=4.5) and low-latitude station Gulmarg (geomag. lat.=24degrees26'N, long. 147degrees09'E) are reported, in which intensity seems to decrease with increase in frequency and also it varies from event to event. It is proposed that resonance interaction of energetic electrons with wavelets present in the upper edge of hiss elements propagating in whistler mode under suitable condition behaves as a backward wave oscillator and generates chorus emissions. The minimum and the maximum value of interaction length, beam modulation period and temporal evolution of emitted wave frequency have been evaluated. Modulation period has been used to explain the periodicity in the recorded events and the temporal evolution of wave frequency has been used to explain the shape of dynamic spectrum of hiss-triggered emissions. (C) 2004 Published by Elsevier Ltd.</t>
  </si>
  <si>
    <t>Banaras Hindu Univ, Dept Phys, Atmospher Res Lab, Varanasi 221005, Uttar Pradesh, India</t>
  </si>
  <si>
    <t>Banaras Hindu University (BHU)</t>
  </si>
  <si>
    <t>Banaras Hindu Univ, Dept Phys, Atmospher Res Lab, Varanasi 221005, Uttar Pradesh, India.</t>
  </si>
  <si>
    <t>rampal@banaras.ernet.in</t>
  </si>
  <si>
    <t>Singh, Ravi P/C-6022-2011</t>
  </si>
  <si>
    <t>10.1016/j.jastp.2004.03.013</t>
  </si>
  <si>
    <t>842MU</t>
  </si>
  <si>
    <t>WOS:000223009300003</t>
  </si>
  <si>
    <t>Shirochkov, A; Makarova, LN; Sokolov, SN; Sheldon, WR</t>
  </si>
  <si>
    <t>Ionospheric effects of the simultaneous occurrence of a solar proton event and relativistic electron precipitation as recorded by ground-based instruments at different latitudes</t>
  </si>
  <si>
    <t>relativistic electrons; solar protons; ionosphere; ionization; ground-based observations</t>
  </si>
  <si>
    <t>POLAR-CAP ABSORPTION; VLF PHASE DISTURBANCES; MIDDLE ATMOSPHERE; MAGNETIC STORMS; FLUXES; OZONE; RADAR; UARS</t>
  </si>
  <si>
    <t>The intense event of highly relativistic electron (HRE) precipitation of May 1992 has been analyzed using data from ground-based observations (riometers and VLF phase measurements). Special attention was given to some features of this event observed at high and very high geomagnetic latitudes, since this aspect of the event was not well documented in previous studies. A remarkable feature of the HRE event of May 1992 was the simultaneous occurrence of a strong solar proton event (SPE), although reliable evidence shows that the simultaneous appearance of SPE and HRE events is not unique. It was demonstrated that a meridian chain of riometers with high latitudinal resolution is an effective and low-cost (as compared with satellite observations) tool to separate the effects of solar proton and relativistic electrons in the lower ionosphere. A significant conclusion is that the polar cap area is free from relativistic electron precipitation. Other interesting aspects of this complex geophysical phenomenon are also discussed. (C) 2004 Elsevier Ltd. All rights reserved.</t>
  </si>
  <si>
    <t>State Sci Ctr, Arctic &amp; Antarctic Res Inst, St Petersburg 199397, Russia; Univ Houston, Dept Phys, Houston, TX 77004 USA</t>
  </si>
  <si>
    <t>Arctic &amp; Antarctic Research Institute; University of Houston System; University of Houston</t>
  </si>
  <si>
    <t>Shirochkov, A (corresponding author), State Sci Ctr, Arctic &amp; Antarctic Res Inst, 38 Bering St, St Petersburg 199397, Russia.</t>
  </si>
  <si>
    <t>Sokolov, Sergey/0000-0001-7150-1863</t>
  </si>
  <si>
    <t>10.1016/j.jastp.2004.03.014</t>
  </si>
  <si>
    <t>WOS:000223009300004</t>
  </si>
  <si>
    <t>Chen, DK; Yuan, XJ</t>
  </si>
  <si>
    <t>A Markov model for seasonal forecast of Antarctic sea ice</t>
  </si>
  <si>
    <t>NINO SOUTHERN-OSCILLATION; INTERANNUAL VARIABILITY; OCEAN; ENSO; ATMOSPHERE; CLIMATE; WINTER; PREDICTABILITY; PREDICTION; PACIFIC</t>
  </si>
  <si>
    <t>A linear Markov model has been developed to simulated and predict the short-term climate change in the Antarctic, with particular emphasis on sea ice variability. Seven atmospheric variables along with sea ice were chosen to define the state of the Antarctic climate, and the multivariate empirical orthogonal functions of these variables were used as the building blocks of the model. The predictive skill of the model was evaluated in a cross-validated fashion, and a series of sensitivity experiments was carried out. In both hindcast and forecast experiments, the model showed considerable skill in predicting the anomalous Antarctic sea ice concentration up to 1 yr in advance, especially in austral winter and in the Antarctic dipole regions. The success of the model is attributed to the domination of the Antarctic climate variability by a few distinctive modes in the coupled air-sea-ice system and to the model's ability to detect these modes. This model is presently being used for the experimental seasonal forecasting of Antarctic sea ice, and a current prediction example is presented.</t>
  </si>
  <si>
    <t>Chen, DK (corresponding author), Columbia Univ, Lamont Doherty Earth Observ, Palisades, NY 10964 USA.</t>
  </si>
  <si>
    <t>dchen@ldeo.columboa.edu</t>
  </si>
  <si>
    <t>Liu, Liu/JXM-8208-2024; Chen, Dake/E-7082-2011</t>
  </si>
  <si>
    <t>10.1175/1520-0442(2004)017&lt;3156:AMMFSF&gt;2.0.CO;2</t>
  </si>
  <si>
    <t>847DX</t>
  </si>
  <si>
    <t>WOS:000223374000007</t>
  </si>
  <si>
    <t>Weatherly, JW</t>
  </si>
  <si>
    <t>Sensitivity of Antarctic precipitation to sea ice concentrations in a general circulation model</t>
  </si>
  <si>
    <t>POLAR CLIMATE; VARIABILITY</t>
  </si>
  <si>
    <t>Several recent studies have highlighted the connections among observed climate variability, such as the Southern Oscillation, sea ice cover, and Antarctic precipitation. The direct contribution of observed sea ice variability to precipitation has not yet been investigated. The sensitivity of Antarctic precipitation to a range of sea ice concentrations is investigated using the Community Climate Model version 3 (CCM3) general circulation model. Sea ice concentrations derived from passive-microwave satellite imagery from 1979 to 1991 are used as surface boundary conditions for climate simulations in a model that resolves both ice-covered and ice-free fractions of each grid cell. Simulations are performed with climatological average ice concentrations, maximum and minimum concentrations, and an ensemble of simulations with interannually varying concentrations from 1979 to 1991. The minimum-ice run produces greater precipitation and onshore winds along the Antarctic coastal topography, except for the western Antarctic, where offshore winds reduce precipitation. The interannually varying model runs exhibit a seasonal response consistent with this picture, as greater precipitation is associated with reduced ice concentrations. The satellite-derived ice concentrations used here ( and the model simulations) exhibit significant differences between the periods of coverage from the two satellite instruments with different spatial resolutions and other characteristics. The results suggest that variability in sea ice concentrations does contribute to variability in Antarctic precipitation; however, the modeled precipitation has a greater response to the instrument-related differences than to the estimated ice variability.</t>
  </si>
  <si>
    <t>USA, Cold Reg Res &amp; Engn Lab, Hanover, NH 03755 USA</t>
  </si>
  <si>
    <t>United States Department of Defense; United States Army; U.S. Army Corps of Engineers; U.S. Army Engineer Research &amp; Development Center (ERDC); Cold Regions Research &amp; Engineering Laboratory (CRREL)</t>
  </si>
  <si>
    <t>Weatherly, JW (corresponding author), USA, Cold Reg Res &amp; Engn Lab, 72 Lyme Rd, Hanover, NH 03755 USA.</t>
  </si>
  <si>
    <t>weather@crrel.usace.army.mil</t>
  </si>
  <si>
    <t>10.1175/1520-0442(2004)017&lt;3214:SOAPTS&gt;2.0.CO;2</t>
  </si>
  <si>
    <t>WOS:000223374000012</t>
  </si>
  <si>
    <t>Jarman, SN; Wilson, SG</t>
  </si>
  <si>
    <t>DNA-based species identification of krill consumed by whale sharks</t>
  </si>
  <si>
    <t>diet; faeces; krill; non-invasive; prey</t>
  </si>
  <si>
    <t>NORTH-WEST SHELF; RHINCODON-TYPUS; PSEUDEUPHAUSIA-LATIFRONS; NINGALOO REEF; ABUNDANCE; COAST</t>
  </si>
  <si>
    <t>DNA was purified from whale shark Rhincodon typus faecal material that contained DNA derived from their prey. A DNA-based krill identification method was used to determine the exact krill species upon which the whale shark was feeding, where morphological analysis had failed to make an identification. (C) 2004 The Fisheries Society of the British Isles.</t>
  </si>
  <si>
    <t>Australian Antarctic Div, Kingston, Tas 7050, Australia; Univ New Hampshire, Dept Zool, Durham, NH 03824 USA</t>
  </si>
  <si>
    <t>Australian Antarctic Division; University System Of New Hampshire; University of New Hampshire</t>
  </si>
  <si>
    <t>simon.jarman@aad.gov.au</t>
  </si>
  <si>
    <t>Jarman, Simon/H-9265-2016</t>
  </si>
  <si>
    <t>Jarman, Simon/0000-0002-0792-9686</t>
  </si>
  <si>
    <t>10.1111/j.0022-1112.2004.00466.x</t>
  </si>
  <si>
    <t>847BS</t>
  </si>
  <si>
    <t>WOS:000223364400024</t>
  </si>
  <si>
    <t>Andreas, EL; Jordan, RE; Makshtas, AP</t>
  </si>
  <si>
    <t>Simulations of snow, ice, and near-surface atmospheric processes on Ice Station Weddell</t>
  </si>
  <si>
    <t>JOURNAL OF HYDROMETEOROLOGY</t>
  </si>
  <si>
    <t>ANTARCTIC SEA-ICE; THERMAL-CONDUCTIVITY; BOTTOM WATER; DRAG COEFFICIENTS; FIRN VENTILATION; SCALAR TRANSFER; HEAT-BUDGET; PACK-ICE; MODEL; TEMPERATURE</t>
  </si>
  <si>
    <t>The 4-month drift of Ice Station Weddell (ISW) produced over 2000 h of nearly continuous measurements in the atmospheric surface layer and in the snow and sea ice in the western Weddell Sea. This paper reports simulations, based on these data, of processes in the air, snow, and sea ice at ISW using SNTHERM, a one-dimensional mass and energy balance model. An earlier version of SNTHERM had to be adapted, however, to treat the flooding that often occurs on sea ice in the western Weddell Sea. To treat this layer of slush and brine, SNTHERM holds the brine salinity constant at its initial value of 31.5 psu until 80% of this slush layer freezes. The current version of SNTHERM also incorporates a new parameterization for the roughness length for wind speed, z(0), derived from analyses of ISW eddy-covariance data. SNTHERM's simulations are validated with temperature measurements within the ice and snow and with eddy-covariance measurements of the surface momentum and sensible and latent heat fluxes. The simulated turbulent fluxes agree fairly well with the measured fluxes, except the simulated sensible heat flux is biased low by 4 -5 W m(-2) for both stable and unstable stratification. The simulated temperature profiles in the snow and ice also agree well with the measured temperatures. In particular, allowing seawater to flush the slush layer until it is 80% frozen delays the freezing of this layer such that its behavior mirrors the data.</t>
  </si>
  <si>
    <t>USA, Cold Reg Res &amp; Engn Lab, Hanover, NH 03755 USA; Int Arctic Res Ctr, Fairbanks, AK USA; Arctic &amp; Antarctic Res Inst, St Petersburg 199226, Russia</t>
  </si>
  <si>
    <t>United States Department of Defense; United States Army; U.S. Army Corps of Engineers; U.S. Army Engineer Research &amp; Development Center (ERDC); Cold Regions Research &amp; Engineering Laboratory (CRREL); Arctic &amp; Antarctic Research Institute</t>
  </si>
  <si>
    <t>Andreas, EL (corresponding author), USA, Cold Reg Res &amp; Engn Lab, 72 Lyme Rd, Hanover, NH 03755 USA.</t>
  </si>
  <si>
    <t>eandreas@crrel.usace.army.mil</t>
  </si>
  <si>
    <t>1525-755X</t>
  </si>
  <si>
    <t>J HYDROMETEOROL</t>
  </si>
  <si>
    <t>J. Hydrometeorol.</t>
  </si>
  <si>
    <t>10.1175/1525-7541(2004)005&lt;0611:SOSIAN&gt;2.0.CO;2</t>
  </si>
  <si>
    <t>845PP</t>
  </si>
  <si>
    <t>WOS:000223257100003</t>
  </si>
  <si>
    <t>Collins, MA</t>
  </si>
  <si>
    <t>Cryptoteuthis brevibracchiata:: A new species and genus of cirrate octopod (Octopoda: Cirrata)</t>
  </si>
  <si>
    <t>JOURNAL OF MOLLUSCAN STUDIES</t>
  </si>
  <si>
    <t>NORTHEAST ATLANTIC; CEPHALOPODA; MOLLUSCA</t>
  </si>
  <si>
    <t>A new species and genus of cirrate octopod, Cryptoteuthis brevibracchiata, is described from a single specimen captured at 2274-2300 m in the Porcupine Seabight, northeastern Atlantic. The species possesses characteristics of both Opisthoteuthis and Grimpoteuthis, but is sufficiently distinct from both to warrant placement in a new genus, within the family Grimpoteuthidae.</t>
  </si>
  <si>
    <t>NERC, British Antarctic Survey, Cambridge CB3 0ET, England</t>
  </si>
  <si>
    <t>macol@bas.ac.uk</t>
  </si>
  <si>
    <t>, Martin/ABE-6728-2020; Collins, Martin A/J-8560-2017</t>
  </si>
  <si>
    <t>, Martin/0000-0001-7132-8650;</t>
  </si>
  <si>
    <t>0260-1230</t>
  </si>
  <si>
    <t>1464-3766</t>
  </si>
  <si>
    <t>J MOLLUS STUD</t>
  </si>
  <si>
    <t>J. Molluscan Stud.</t>
  </si>
  <si>
    <t>10.1093/mollus/70.3.263</t>
  </si>
  <si>
    <t>845ZH</t>
  </si>
  <si>
    <t>WOS:000223283700008</t>
  </si>
  <si>
    <t>Ankisetty, S; Nandiraju, S; Win, H; Park, YC; Amsler, CD; McClintock, JB; Baker, JA; Diyabalanage, TK; Pasaribu, A; Singh, MP; Maiese, WM; Walsh, RD; Zaworotko, MJ; Baker, BJ</t>
  </si>
  <si>
    <t>Chemical investigation of predator-deterred macroalgae from the Antarctic peninsula</t>
  </si>
  <si>
    <t>MARINE NATURAL-PRODUCTS; RED ALGA PLOCAMIUM; CYTOTOXIC PRINCIPLE; DIGESTIVE GLAND; MONOTERPENES; HALOMON; DEFENSE; CARTILAGINEUM; CONSTITUENTS; ASSOCIATIONS</t>
  </si>
  <si>
    <t>Chemical investigation of five Antarctic macroalgae whose tissues and crude extracts displayed ecologically relevant feeding deterrence in field bioassays was performed. Eleven compounds were characterized from the three red algae studied, of which four (1-3 and 9) were previously unreported, and four compounds were found from two brown algae, two (12 and 14) of which are new natural products. Several of these pure compounds have been individually investigated in ecological and/or pharmacological bioassays.</t>
  </si>
  <si>
    <t>Univ S Florida, Dept Chem, Tampa, FL 33620 USA; Univ Alabama Birmingham, Dept Biol Sci, Birmingham, AL 35294 USA; Wyeth Ayerst Res, Pearl River, NY 10965 USA</t>
  </si>
  <si>
    <t>State University System of Florida; University of South Florida; University of Alabama System; University of Alabama Birmingham; Pfizer</t>
  </si>
  <si>
    <t>Univ S Florida, Dept Chem, 4202 E Fowler Ave SCA400, Tampa, FL 33620 USA.</t>
  </si>
  <si>
    <t>bjbaker@chuma1.cas.usf.edu</t>
  </si>
  <si>
    <t>Singh, Mohan Prasad/F-7059-2011; Baker, Bill/N-4312-2019; Zaworotko, Michael John/A-7448-2009</t>
  </si>
  <si>
    <t>Singh, Mohan Prasad/0000-0002-6236-856X; Zaworotko, Michael John/0000-0002-1360-540X; Amsler, Charles/0000-0002-4843-3759; Pasaribu, Mulyadi/0000-0002-1775-5480</t>
  </si>
  <si>
    <t>10.1021/np049965c</t>
  </si>
  <si>
    <t>850GW</t>
  </si>
  <si>
    <t>WOS:000223600200016</t>
  </si>
  <si>
    <t>Mock, T; Valentin, K</t>
  </si>
  <si>
    <t>Photosynthesis and cold acclimation: Molecular evidence from a polar diatom</t>
  </si>
  <si>
    <t>cold acclimation; fluorescence induction; Fragilariopsis cylindrus; gene expression; macroarray; photosynthesis; pigments; sea ice</t>
  </si>
  <si>
    <t>ANTARCTIC SEA-ICE; POOL SIZE; PROTEINS; RNA; EXPRESSION; GENOME; GROWTH; PHOTOPROTECTION; STRESS; LIPIDS</t>
  </si>
  <si>
    <t>The psychrophilic diatom Fragilariopsis cylindrus (Grunow) Krieger in Helmcke &amp; Krieger was used to investigate photosynthesis and growth under freezing temperatures. Gene expression during a temperature shift from + 5degrees C to - 1.8degrees C was studied under 3 and 35 mumol photons(.)m(-2.)s(-1) by using a macroarray. These measurements were paralleled by determination of fluorescence induction at PSII and pigment analysis. The shift to - 1.8degrees C at 35 mumol photons(.)m(-2.)s(-1) caused a marginal decrease of photosynthetic quantum yield (F-v/F-m) from 0.61 to 0.52 with fast recovery after I day. The ratio of chl c to chl a increased from 3.1 to 5.5, and the ratio of diatoxanthin to diadinoxanthin increased from 0.7 to 5.0. Genes encoding proteins of PSII (psbA, psbC) and for carbon fixation (rbcL) were down-regulated, whereas genes encoding chaperons (hsp70) and genes for plastid protein synthesis and turnover (elongation factor EfTs, ribosomal protein rpS4, ftsH protease) were up-regulated. In contrast, cold exposure at 3 mumol (.) photons m(-2) (.) s(-1) induced a marginal increase in F-v/F-m from 0.61 to 0.63 and a strong increase in fucoxanthin concentrations from 0.04 up to 0.12 pg (.) cell(-1). This was paralleled by up-regulation of fcp genes. The ratio of chl c to chl a also increased from 3.1 to 4.2, as did the ratio of diatoxanthin to diadinoxanthin from 0.7 to 2.2. Down-regulation of psbA, psbC, and rbcL could also be measured but not up-regulation of hsp70, EfTs, rpS4, and the ftsH protease. The latter genes are probably necessary to avoid cold shock photoinhibition only at higher light intensities.</t>
  </si>
  <si>
    <t>Alfred Wegener Inst Polar &amp; Marine Res, Am Handelshafen 12, D-27570 Bremerhaven, Germany.</t>
  </si>
  <si>
    <t>tmock@awi-bremerhaven.de</t>
  </si>
  <si>
    <t>Mock, Thomas/A-3127-2008; Valentin, Klaus/G-5862-2014</t>
  </si>
  <si>
    <t>Mock, Thomas/0000-0001-9604-0362;</t>
  </si>
  <si>
    <t>10.1111/j.1529-8817.2004.03224.x</t>
  </si>
  <si>
    <t>844PK</t>
  </si>
  <si>
    <t>WOS:000223171900014</t>
  </si>
  <si>
    <t>Kahana, R; Bigg, GR; Wadley, MR</t>
  </si>
  <si>
    <t>Global ocean circulation modes derived from a multiple box model</t>
  </si>
  <si>
    <t>ANTARCTIC BOTTOM WATER; NORTH-ATLANTIC OCEAN; MIXED BOUNDARY-CONDITIONS; ABRUPT CLIMATE-CHANGE; LAST GLACIAL MAXIMUM; THERMOHALINE CIRCULATION; SURFACE SALINITY; BERING STRAIT; FLOW; ATMOSPHERE</t>
  </si>
  <si>
    <t>A 16-box model of the global ocean circulation is constructed to investigate the sensitivity of the thermohaline circulation to upper-ocean density perturbations. The model attempts to represent the main geographical components of the global ocean and is tuned to give a present-day circulation broadly compatible with observed volume fluxes. Extensive tests are made of the model's sensitivity to upper-ocean density perturbations, equivalent to a range of +/-3 psu in salinity about the current climate. It is found that there are seven separate modes of thermohaline circulation that can occur within the model's constraints, as well as the possibility of significant variations in the strength of the current circulation mode. These modes are related to possible changes in surface forcing, such as the abrupt increase in freshwater from ice-sheet melting, where such a possibility exists. A mode with North Atlantic upwelling rather than deep- or bottom-water formation was found to occur with large additional inputs of freshwater to the northern Atlantic. These freshwater inputs needed to be equivalent to an instantaneously reduction of upper-ocean salinity by at least 1.8 psu. The model was unable to produce deep-water formation in the northern Pacific, although this may be a constraint of the model formulation. Bottom-water production was possible in the Indian and Pacific Oceans provided the surface density was much enhanced, beyond likely changes in evaporation and precipitation.</t>
  </si>
  <si>
    <t>Univ E Anglia, Sch Environm Sci, Norwich NR4 7TJ, Norfolk, England; Univ Sheffield, Dept Geog, Sheffield S10 2TN, S Yorkshire, England</t>
  </si>
  <si>
    <t>University of East Anglia; University of Sheffield</t>
  </si>
  <si>
    <t>Kahana, R (corresponding author), Univ E Anglia, Sch Environm Sci, Norwich NR4 7TJ, Norfolk, England.</t>
  </si>
  <si>
    <t>r.kahana@uea.ac.uk</t>
  </si>
  <si>
    <t>Bigg, Grant/GXW-2219-2022</t>
  </si>
  <si>
    <t>Kahana, Ron/0000-0003-2070-8818</t>
  </si>
  <si>
    <t>10.1175/1520-0485(2004)034&lt;1811:GOCMDF&gt;2.0.CO;2</t>
  </si>
  <si>
    <t>844ED</t>
  </si>
  <si>
    <t>WOS:000223139300002</t>
  </si>
  <si>
    <t>Ray, RD; Egbert, GD</t>
  </si>
  <si>
    <t>The global S1 tide</t>
  </si>
  <si>
    <t>OCEAN TIDES; WORLD OCEAN; ANGULAR-MOMENTUM; NORMAL-MODES; SEMIDIURNAL VARIATIONS; ATMOSPHERIC-PRESSURE; DIURNAL CYCLE; SURFACE WIND; SEA; OSCILLATIONS</t>
  </si>
  <si>
    <t>The small S-1 ocean tide is caused primarily by diurnal atmospheric pressure loading. Its excitation is therefore unlike any other diurnal tide; in particular, pressure loading is maximum near the equator where the diurnal gravitational potential is zero. The global character of the S-1 tide is here determined by numerical modeling and by analysis of Ocean Topography Experiment (TOPEX)/Poseidon satellite altimeter data. The two approaches yield reasonably consistent results. Amplitudes exceeding 1 cm in several regions are further confirmed by comparison with coastal tide gauges. Notwithstanding their excitation differences, S-1 and other diurnal tides are found to share several common features, such as relatively large amplitudes in the Arabian Sea, the Labrador Sea, the Sea of Okhotsk, and the Gulf of Alaska. The most noticeable difference is the lack of an S-1 Antarctic Kelvin wave. These similarities and differences can be explained in terms of the coherences between near-diurnal oceanic normal modes and the underlying tidal forcings. Whereas gravitational diurnal tidal forces excite primarily a 28-h Antarctic-Pacific mode, the S-1 air tide excites several other near-diurnal modes, none of which has large amplitudes near Antarctica.</t>
  </si>
  <si>
    <t>NASA, Goddard Space Flight Ctr, Terr Phys Lab, Greenbelt, MD 20771 USA; Oregon State Univ, Coll Oceanog &amp; Atmospher Sci, Corvallis, OR 97331 USA</t>
  </si>
  <si>
    <t>National Aeronautics &amp; Space Administration (NASA); NASA Goddard Space Flight Center; Oregon State University</t>
  </si>
  <si>
    <t>NASA, Goddard Space Flight Ctr, Terr Phys Lab, Code 926, Greenbelt, MD 20771 USA.</t>
  </si>
  <si>
    <t>richard.ray@gsfc.nasa.gov</t>
  </si>
  <si>
    <t>Ray, Richard D/D-1034-2012</t>
  </si>
  <si>
    <t>Egbert, Gary/0000-0003-1276-8538</t>
  </si>
  <si>
    <t>10.1175/1520-0485(2004)034&lt;1922:TGST&gt;2.0.CO;2</t>
  </si>
  <si>
    <t>WOS:000223139300009</t>
  </si>
  <si>
    <t>van Oijen, T; van Leeuwe, MA; Granum, E; Weissing, FJ; Bellerby, RGJ; Gieskes, WWC; de Baar, HJW</t>
  </si>
  <si>
    <t>Light rather than iron controls photosynthate production and allocation in Southern Ocean phytoplankton populations during austral autumn</t>
  </si>
  <si>
    <t>DISSOLVED ORGANIC-MATTER; MARINE EUKARYOTIC ALGAE; ATLANTIC SECTOR; ENVIRONMENTAL-FACTORS; CARBOHYDRATE SOLUTES; QUATERNARY AMMONIUM; OSMOTIC ADJUSTMENT; TERTIARY SULFONIUM; INORGANIC-IONS; DIEL VARIATION</t>
  </si>
  <si>
    <t>The role of iron and light in controlling photosynthate production and allocation in phytoplankton populations of the Atlantic sector of the Southern Ocean was investigated in April-May 1999. The C-14 incorporation into five biochemical pools (glucan, amino acids, proteins, lipids and polysaccharides) was measured during iron/light perturbation experiments. The diurnal Chl a-specific rates of carbon incorporation into these pools did not change in response to iron addition, yet were decreased at 20 mumol photons m(-2) s(-1), an irradiance comparable with the one at 20-45 m in situ depth. This suggests that the low phytoplankton biomass encountered (0.1-0.6 mug Chl a L-1) was mainly caused by light limitation in the deep wind mixed layer (&gt;40 m). Regional differences in Chl a-specific carbon incorporation rates were not found in spite of differences in phytoplankton species composition: at the Antarctic Polar Front, biomass was dominated by a diatom population of Fragilariopsis kerguelensis, whereas smaller cells, including chrysophytes, were relatively more abundant in the Antarctic Circumpolar Current beyond the influence of frontal systems. Because mixing was often in excess of 100 m in the latter region, diatom cells may have been unable to fulfil their characteristically high Fe demand at low average light conditions, and thus became co-limited by both resources. Using a model that describes the C-14 incorporation, the consistency was shown between the dynamics in the glucan pool in the field experiments and in laboratory experiments with an Antarctic diatom, Chaetoceros brevis. The glucan respiration rate was almost twice as high during the dark phase as during the light phase, which is consistent with the role of glucan as a reserve supplying energy and carbon skeletons for continued protein synthesis during the night.</t>
  </si>
  <si>
    <t>Univ Groningen, Dept Marine Biol, NL-9750 AA Haren, Netherlands; Univ Sheffield, Dept Anim &amp; Plant Sci, Sheffield S10 2TN, S Yorkshire, England; Univ Bergen, Bjerknes Ctr Climate Res, N-5007 Bergen, Norway; Royal Netherlands Inst Sea Res, NL-1790 AB Den Burg, Netherlands</t>
  </si>
  <si>
    <t>University of Groningen; University of Sheffield; Bjerknes Centre for Climate Research; University of Bergen; Utrecht University; Royal Netherlands Institute for Sea Research (NIOZ)</t>
  </si>
  <si>
    <t>Univ Groningen, Dept Marine Biol, POB 14, NL-9750 AA Haren, Netherlands.</t>
  </si>
  <si>
    <t>t.van.oijen@biol.rug.nl</t>
  </si>
  <si>
    <t>Granum, Espen/G-3637-2016; Bellerby, Richard/B-5277-2012; Bellerby, Richard/ABD-6590-2021</t>
  </si>
  <si>
    <t>Granum, Espen/0000-0002-7563-5460; Bellerby, Richard/0000-0003-3598-4006; Weissing, Franz J./0000-0003-3281-663X</t>
  </si>
  <si>
    <t>10.1093/plankt/fbh088</t>
  </si>
  <si>
    <t>844FY</t>
  </si>
  <si>
    <t>WOS:000223144400006</t>
  </si>
  <si>
    <t>Tetsuka, M; Asada, M; Mogoe, T; Fukui, Y; Ishikawa, H; Ohsumi, S</t>
  </si>
  <si>
    <t>The pattern of ovarian development in the prepubertal Antarctic minke whale (Balaenoptera bonaerensis)</t>
  </si>
  <si>
    <t>JOURNAL OF REPRODUCTION AND DEVELOPMENT</t>
  </si>
  <si>
    <t>whale; minke whale; ovarian development</t>
  </si>
  <si>
    <t>ACUTOROSTRATA; HEIFERS</t>
  </si>
  <si>
    <t>This study describes the morphological and morphometrical changes associated with prepubertal ovarian development in the Antarctic minke whale (Balaenoptera bonaerensis). Ovaries were harvested from 94 immature minke whales caught in the Antarctic Ocean during the summer feeding season (December-March). Notable differences in ovarian size and morphology were found among animals. Up to 10 folds difference in ovarian weight was found among prepubertal whales of similar body size. During the prepubertal period, ovaries grew slowly and approximately doubled their weight. The morphologies of right and left ovaries were almost identical while the growth of the ovary appears to occur preferentially on the right side. The most striking morphological feature was numerous small antral follicles less than 5 mm in diameter found in ovaries of younger immature whales. The occurrence of these ovaries was highest in whales less than 6 m long and gradually decreased as body length increased. In larger whales, the occurrence of ovaries with a smaller number of follicles up to 10 mm and thick tunica albuginea increased. Thus, the ovary of the Antarctic minke whale experiences bursts of small follicular development during the early prepubertal period before becoming a more developed ovary with fewer but larger follicles, and thick tunica albuginea.</t>
  </si>
  <si>
    <t>Obihiro Univ Agr &amp; Vet Med, Dept Agr &amp; Life Sci, Obihiro, Hokkaido 0808555, Japan; Inst Cetacean Res, Chuo Ku, Tokyo 1040055, Japan</t>
  </si>
  <si>
    <t>Tetsuka, M (corresponding author), Obihiro Univ Agr &amp; Vet Med, Dept Agr &amp; Life Sci, Inada Cho, Obihiro, Hokkaido 0808555, Japan.</t>
  </si>
  <si>
    <t>mtetsuka@obihiro.ac.jp</t>
  </si>
  <si>
    <t>SOCIETY REPRODUCTION &amp; DEVELOPMENT-SRD</t>
  </si>
  <si>
    <t>TSUKUBA</t>
  </si>
  <si>
    <t>C/O KAZUHIRO KIKUCHI, PHD DVM, NATL INST AGROBIOLOGICAL SCIENCES KANNONDAI 2-1-2, TSUKUBA, IBARAKI 305-8602, JAPAN</t>
  </si>
  <si>
    <t>0916-8818</t>
  </si>
  <si>
    <t>J REPROD DEVELOP</t>
  </si>
  <si>
    <t>J. Reprod. Dev.</t>
  </si>
  <si>
    <t>10.1262/jrd.50.381</t>
  </si>
  <si>
    <t>Agriculture, Dairy &amp; Animal Science; Reproductive Biology</t>
  </si>
  <si>
    <t>Agriculture; Reproductive Biology</t>
  </si>
  <si>
    <t>908LI</t>
  </si>
  <si>
    <t>WOS:000227788100001</t>
  </si>
  <si>
    <t>Jackson, GD; Jackson, CH</t>
  </si>
  <si>
    <t>Mating and spermatophore placement in the onychoteuthid squid Moroteuthis ingens</t>
  </si>
  <si>
    <t>CEPHALOPODA</t>
  </si>
  <si>
    <t>Males of the onychoteuthid squid Moroteuthis ingens implant spermatophores directly into a variety of internal and external tissues of the female, based on the examination of 14 individuals collected south of' Tasmania, Australia. Furthermore, the capture of a pair of mating individuals suggests that jaw locking reminiscent of cichlid fish may be a behaviour associated with courtship and mating.</t>
  </si>
  <si>
    <t>Univ Tasmania, Inst Antarctic &amp; So Ocean Studies, Hobart, Tas, Australia</t>
  </si>
  <si>
    <t>Jackson, GD (corresponding author), Univ Tasmania, Inst Antarctic &amp; So Ocean Studies, Private Bag 77, Hobart, Tas, Australia.</t>
  </si>
  <si>
    <t>10.1017/S0025315404009932</t>
  </si>
  <si>
    <t>857LY</t>
  </si>
  <si>
    <t>WOS:000224119400019</t>
  </si>
  <si>
    <t>Dickson, J; Morley, SA; Mulvey, T</t>
  </si>
  <si>
    <t>New data on Martialia hyadesi feeding in the Scotia Sea during winter; with emphasis on seasonal and annual variability</t>
  </si>
  <si>
    <t>SOUTH GEORGIA; KRILL; ABUNDANCE</t>
  </si>
  <si>
    <t>The diet of the seven star flying squid, Martiala hyadesi, from the South Georgia sector of the Scotia Sea was described front stomach contents collected in winter (June) 2001. Diet was dominated by the hyperiid amphipod, Themisto gaudichaudii, fish (nine species, mainly myctophids) and cephalopods (mainly, cannibalism). The absence of krill, Euphausia superba, and the presence of larger myctophids in the diet are discussed in terms of seasonal and annual prey availability.</t>
  </si>
  <si>
    <t>Morley, SA (corresponding author), British Antarctic Survey, NERC, High Cross,Madingley Rd, Cambridge CB3 0ET, England.</t>
  </si>
  <si>
    <t>smor@bas.ac.uk</t>
  </si>
  <si>
    <t>10.1017/S0025315404009944h</t>
  </si>
  <si>
    <t>WOS:000224119400020</t>
  </si>
  <si>
    <t>Xue, F; Wang, HJ; He, JH</t>
  </si>
  <si>
    <t>Interannual variability of mascarene high and Australian high and their influences on East Asian summer monsoon</t>
  </si>
  <si>
    <t>JOURNAL OF THE METEOROLOGICAL SOCIETY OF JAPAN</t>
  </si>
  <si>
    <t>SEA-SURFACE TEMPERATURES; SOUTHERN-HEMISPHERE; RAINFALL; CIRCULATION; SYSTEMS; PACIFIC; CHINA; ENSO</t>
  </si>
  <si>
    <t>Based on the reanalysis data from NCEP/NCAR and other observational data, interannual variability of the Mascarene high (MH) and Australian high (AH) during boreal summer from 1970 to 1999 is examined. It is shown that interannual variability of MH is dominated by the Antarctic oscillation (AAO), and MH tends to be intensified with the development of the circumpolar lows in high southern latitudes. On the other hand, AH is correlated with AAO as well as El Ni (n) over tildeo and Southern Oscillation (ENSO), and tends to be intensified when El Ni (n) over tildeo occurs. Since AH, especially MH, is positively correlated with AAO, composite analysis on the difference between the positive and negative MH is performed to reveal the physical mechanism responsible for the East Asian summer monsoon anomalies associated with AAO. The result shows that, with the intensification of MH, the Somali jet, and Indian monsoon westerlies, tend to be strengthened. Accordingly, AH and the associated cross-equatorial flow, become stronger whereas the trade wind over the tropical western and middle Pacific become weaker. In association with the above changes, convective activities near the Philippine Sea are largely suppressed, as a consequence, exciting a negative convection anomaly, and a Rossby wave train from East Asia via the North Pacific to the western coast of North America (a negative Pacific-Japan pattern). Corresponding to the negative Pacific-Japan pattern, an anomalous rainfall pattern appears in East Asia. Correlation analysis between AAO and sea level pressure, 500 hPa geopotential height further indicates that AAO is a strong signal influencing the climate anomaly in both hemispheres, including East Asia. Due to the seasonal persistence, AAO and the related MH and AH in boreal spring, may provide some useful information for the East Asian summer monsoon prediction. With the intensification of MH during boreal spring through summer, the Meiyu/Baiu rainfall from the Yangtze River valley to the Japan Islands tends to increase, while less rainfall is found outside of this region. In contrast with MH, the effect of AH on summer rainfall is confined to southern China.</t>
  </si>
  <si>
    <t>Chinese Acad Sci, Inst Atmospher Phys, LASG, Beijing 100029, Peoples R China; Nanjing Inst Meteorol, KLME, Nanjing, Peoples R China</t>
  </si>
  <si>
    <t>Chinese Academy of Sciences; Institute of Atmospheric Physics, CAS; Nanjing University of Information Science &amp; Technology</t>
  </si>
  <si>
    <t>Xue, F (corresponding author), Chinese Acad Sci, Inst Atmospher Phys, LASG, POB 9804, Beijing 100029, Peoples R China.</t>
  </si>
  <si>
    <t>fxue@lasg.iap.ac.cn</t>
  </si>
  <si>
    <t>METEOROLOGICAL SOC JPN</t>
  </si>
  <si>
    <t>C/O JPN METEOROL AGENCY 1-3-4 OTE-MACHI, CHIYODA-KU, TOKYO, JAPAN</t>
  </si>
  <si>
    <t>0026-1165</t>
  </si>
  <si>
    <t>J METEOROL SOC JPN</t>
  </si>
  <si>
    <t>J. Meteorol. Soc. Jpn.</t>
  </si>
  <si>
    <t>10.2151/jmsj.2004.1173</t>
  </si>
  <si>
    <t>862QE</t>
  </si>
  <si>
    <t>WOS:000224505000013</t>
  </si>
  <si>
    <t>Buchanan, PC; Reimold, WU; Koeberl, C; Kruger, FJ</t>
  </si>
  <si>
    <t>Rb-Sr and Sm-Nd isotopic compositions of the Rooiberg Group, South Africa: early Bushveld-related volcanism</t>
  </si>
  <si>
    <t>LITHOS</t>
  </si>
  <si>
    <t>bushveld complex; Africa; Sm-Nd; Rb-Sr; magma source; Rooiberg Group</t>
  </si>
  <si>
    <t>BASALT GEOCHEMISTRY; MAGMATIC PROVINCE; COMPLEX; ROCKS; EMPLACEMENT</t>
  </si>
  <si>
    <t>The Rooiberg Group is a 6-km-thick sequence of mostly volcanic rocks, which represent the first phase of magmatic activity associated with the Bushveld Complex. These strata include, in ascending stratigraphic order, the Dullstroom, Damwal, Kwaggasnek, and Schrikkloof Formations. Units of the lower Dullstroom Formation range from basafts to andesites and comprise two compositional suites: high Ti and low Ti. Compositional data indicate that melts represented by the overlying, more siliceous volcanic rocks, which include dacites and rhyolites, were derived from low Ti melts by fractional crystallization and assimilation of crustal material (AFC processes). Rb-Sr isotopic data (28 samples) for units of the Dullstroom and Damwal Formations loosely constrain a crystallization age of 2071 + 94/ - 65 Ma (these errors and those below: 95% confidence limits), which agrees with previously reported age data. These data suggest an initial value for Sr-87/Sr-86 of 0.70655 + 0.00087/ - 0.00051 for the Rooiberg Group. In contrast, Rb-Sr isotopic compositions of six samples of the Kwaggasnek Formation indicate post-crystallization alteration, which was probably associated with the Lebowa Granite Suite of the Bushveld Complex. Sm-Nd isotopic data (29 samples) for volcanic units of the Rooiberg Group provide a poorly constrained age of 1837 + 360/ - 320 Ma with an initial value for Nd-143/Nd-144 of 0.50976+0.00026/- 0.00035. These Rb-Sr and Sm-Nd isotopic compositions are similar to those indicated for melts that crystallized to form the Rustenburg Layered Suite (RLS) of the Bushveld Complex. Extruded and intruded melts probably were derived from the same or similar sources and may have resided in the same magma chambers before emplacement. (C) 2004 Elsevier B.V. All rights reserved.</t>
  </si>
  <si>
    <t>Natl Inst Polar Res, Antarctic Meteorite Res Ctr, Tokyo 1738515, Japan; Univ Witwatersrand, Sch Geosci, Impact Cratering Res Grp, ZA-2050 Johannesburg, Johannesburg, South Africa; Univ Vienna, Dept Geol Sci Geochem, A-1090 Vienna, Austria; Univ Witwatersrand, Sch Geosci, Hugh Allsopp Lab, Econ Geol Res Inst, Johannesburg, South Africa</t>
  </si>
  <si>
    <t>Research Organization of Information &amp; Systems (ROIS); National Institute of Polar Research (NIPR) - Japan; University of Witwatersrand; University of Vienna; University of Witwatersrand</t>
  </si>
  <si>
    <t>Buchanan, PC (corresponding author), Natl Inst Polar Res, Antarctic Meteorite Res Ctr, 1-9-10 Kaga, Tokyo 1738515, Japan.</t>
  </si>
  <si>
    <t>buchanan@nipr.ac.jp</t>
  </si>
  <si>
    <t>Reimold, Wolf Uwe/AAI-6226-2021</t>
  </si>
  <si>
    <t>Hauser, Natalia/0000-0002-6975-6186; Koeberl, Christian/0000-0001-5155-7405; Buchanan, Paul/0000-0003-1648-6079</t>
  </si>
  <si>
    <t>0024-4937</t>
  </si>
  <si>
    <t>1872-6143</t>
  </si>
  <si>
    <t>Lithos</t>
  </si>
  <si>
    <t>10.1016/j.lithos.2004.03.007</t>
  </si>
  <si>
    <t>Geochemistry &amp; Geophysics; Mineralogy</t>
  </si>
  <si>
    <t>840DI</t>
  </si>
  <si>
    <t>WOS:000222836800006</t>
  </si>
  <si>
    <t>Karentz, D; Bosch, I; Mitchell, DM</t>
  </si>
  <si>
    <t>Limited effects of Antarctic ozone depletion on sea urchin development</t>
  </si>
  <si>
    <t>SOLAR ULTRAVIOLET-RADIATION; INDUCED DNA-DAMAGE; UV-B RADIATION; INDUCED MORPHOLOGICAL ABNORMALITY; NM INDUCED MORTALITY; COD GADUS-MORHUA; AMINO-ACIDS; CALANUS-FINMARCHICUS; PYRIMIDINE DIMERS; CRUSTACEAN ZOOPLANKTON</t>
  </si>
  <si>
    <t>The sea urchin, Sterechinus neumayeri, has a circumpolar distribution and is an abundant species in benthic communities of the Antarctic. Reproduction occurs during austral spring, when ozone concentrations over the past 25 years have been reduced by 50% or more, potentially exposing the planktonic embryos and larvae to elevated levels of UVB. During spring of 1996, cultures of S. neumayeri embryos incubated under ambient and partitioned sunlight (minus UVB) at static depths between 0 and 7 m were analyzed for DNA damage [cyclobutane pyrimidine dimers (CPDs)] and morphological abnormalities. At 0-m and 1-m depths, nearly 100% of embryos developed abnormally, even under UVB-shielded conditions where little or no DNA damage accumulated. At depths &gt; 3 m, reduced or no abnormality was evident and DNA damage was negligible. Although UVB contributed to 0-65% of solar-induced abnormalities, the mean contribution was 11 +/- 17% and UVB was not primarily responsible for observed defects in urchin development. Moreover, developmental responses were not linearly related to ambient UVB gradients as might be expected, but are better characterized relative to threshold levels of total UVB exposure. Accumulated exposures of less than or equal to 25 kJ m(-2) ambient UVB caused minimal DNA damage and allowed normal embryological development to proceed. Higher UVB exposures (especially greater than or equal to80 kJ m(-2)) precluded normal development. An ancillary threshold limit of 17 CPDs mb(-1) has been identified as the level of DNA damage that proscribes abnormal development. While higher wavelengths of UVA and visible light are not affected by ozone concentration and do not initiate significant CPD DNA damage, they did interfere significantly with the embryological development of S. neumayeri. It is concluded that exposure to increased UVB during recent Antarctic ozone-depletion cycles probably has only a small degree of impact relative to the magnitude of other solar effects on the developmental success of Sterechinus embryos, or compared to spawning seasons before ozone depletion (i.e., years prior to 1978).</t>
  </si>
  <si>
    <t>Univ San Francisco, Dept Biol, San Francisco, CA 94117 USA; SUNY Coll Geneseo, Dept Biol, Geneseo, NY 14454 USA; Univ Texas, MD Anderson Canc Ctr, Dept Carcinogenesis, Smithville, TX 78957 USA</t>
  </si>
  <si>
    <t>University of San Francisco; State University of New York (SUNY) System; SUNY Geneseo; University of Texas System; UTMD Anderson Cancer Center</t>
  </si>
  <si>
    <t>Karentz, D (corresponding author), Univ San Francisco, Dept Biol, San Francisco, CA 94117 USA.</t>
  </si>
  <si>
    <t>karentzd@usfca.edu</t>
  </si>
  <si>
    <t>10.1007/s00227-004-1310-1</t>
  </si>
  <si>
    <t>843QB</t>
  </si>
  <si>
    <t>WOS:000223098200008</t>
  </si>
  <si>
    <t>Bryan, PJ</t>
  </si>
  <si>
    <t>Energetic cost of development through metamorphosis for the seastar Mediaster aequalis (Stimpson)</t>
  </si>
  <si>
    <t>POLYCHAETE HYDROIDS-ELEGANS; DISSOLVED AMINO-ACIDS; ANTARCTIC SEA-URCHIN; LARVAL DEVELOPMENT; MARINE-INVERTEBRATES; HALIOTIS-RUFESCENS; DELAYED METAMORPHOSIS; ACANTHASTER-PLANCI; LECITHOTROPHIC LARVAE; BALANUS-AMPHITRITE</t>
  </si>
  <si>
    <t>Rates of oxygen consumption were measured for embryos, larvae and juveniles of the seastar Mediaster aequalis for 76 days post-fertilization. The rate increased from 0.65 nmol O-2 ind(-1) h(-1) at 6 h after fertilization to 2.8 nmol O-2 ind(-1) h(-1) at day 35. Larvae became competent to metamorphose around day 35 post-fertilization and began to decrease their metabolic rate after this time. Metamorphosed juveniles consumed 0.74 nmol O-2 ind(-1) h(-1). Eggs contained 138.6 mug lipid ind(-1) and 12.1 mug protein ind(-1). Lipid levels decreased in concentration throughout development while protein levels increased slightly. The lipid levels decreased by 88.5 mug from eggs to day 76 larvae, accounting for 3.5 J of energy. Total oxygen consumption to this point was 3.74 mumol O-2 ind(-1), accounting for 1.84 J. The energetic demand up to day 76 was met completely through the use of lipid reserves. Metamorphosed juveniles expended 0.5 J more than larvae at the same age. Tubes of the polychaete Phyllochaetopterus prolifica were able to induce metamorphosis in M. aequalis larvae and a non-polar extract of these tubes also triggered metamorphosis. Larvae that are delayed to metamorphose can sustain their metabolic rate with lipid reserves for a limited, yet undetermined, period.</t>
  </si>
  <si>
    <t>Cent Washington Univ, Dept Biol, Ellensburg, WA 98926 USA</t>
  </si>
  <si>
    <t>Central Washington University</t>
  </si>
  <si>
    <t>Cent Washington Univ, Dept Biol, 400 Univ Way, Ellensburg, WA 98926 USA.</t>
  </si>
  <si>
    <t>bryanp@cwu.edu</t>
  </si>
  <si>
    <t>10.1007/s00227-004-1311-0</t>
  </si>
  <si>
    <t>WOS:000223098200009</t>
  </si>
  <si>
    <t>Barnes, DKA; Kuklinski, P</t>
  </si>
  <si>
    <t>Variability of competition at scales of 101, 103, 105, and 106 M:: encrusting arctic community patterns</t>
  </si>
  <si>
    <t>DIVERSITY GRADIENTS; SPECIES RICHNESS; INTERSPECIFIC COMPETITION; TAXONOMIC DIVERSITY; BENTHIC COMMUNITIES; SPATIAL COMPETITION; COLONIAL ASCIDIANS; ICE-SCOUR; DISTURBANCE; ECOLOGY</t>
  </si>
  <si>
    <t>Variability in interference competition was studied in benthic marine communities of the arctic and subarctic Atlantic intertidal and shallow subtidal zones. We sampled multiple square-metre quadrats at distances of 10(1). 10(3) and 10(5) m apart around the high polar island of Spitsbergen (Svalbard Archipelago). We also took some similar samples in Iceland and in the Faeroe Islands (106 in apart from Spitsbergen samples). Encrusting fauna were present on high arctic intertidal rocks but we only found competitive interactions on subtidal substrata. On subarctic Icelandic and Faeroese shores, in contrast, spatial competition was common even in the intertidal zone. Analysis of variance of competition intensity data (numbers of interactions per area) revealed multiple factors to be significant Influences explaining variability. Amongst the 10(1)-, 10(3) -, and 10(5)-m spatial scales, only the largest emerged as a significant term. Whether intra- or interspecific competition dominated the types of interactions varied greatly between sites: 21-97% of competition was intraspecific. The proportion of competitive encounters resulting in a decided outcome (i.e. a win for one competitor and a loss for the other. rather than a tie or standoff between them) showed little variability at any scale. All the values of competition transitivity (how hierarchical a pecking order is) were very high compared to values reported in the literature from any other (polar or non-polar) locality. Variability in this measure was generally &lt; 10% across scales. We conclude from our data that great care must be taken in interpreting patterns of competition between similar taxa in large-scale space or time. Not only did most aspects of competition in our study communities vary significantly at the 10(5)-m scale but different aspects of competition varied at different scales and by hugely different amounts.</t>
  </si>
  <si>
    <t>British Antarctic Survey, NERC, Cambridge CB3 0ET, England; UNIS, Univ Courses Svalbard, Spitsbergen, Norway; Polish Acad Sci, Inst Oceanol, Marine Ecol Dept, PL-55 Warsaw, Poland</t>
  </si>
  <si>
    <t>UK Research &amp; Innovation (UKRI); Natural Environment Research Council (NERC); NERC British Antarctic Survey; University Centre Svalbard (UNIS); Polish Academy of Sciences; Institute of Oceanology of the Polish Academy of Sciences</t>
  </si>
  <si>
    <t>Barnes, DKA (corresponding author), British Antarctic Survey, NERC, High Cross,Madingley Rd, Cambridge CB3 0ET, England.</t>
  </si>
  <si>
    <t>dkab@bas.ac.uk</t>
  </si>
  <si>
    <t>10.1007/s00227-004-1320-z</t>
  </si>
  <si>
    <t>WOS:000223098200016</t>
  </si>
  <si>
    <t>Corsi, I; Bonacci, S; Santovito, G; Chiantore, M; Castagnolo, L; Focardi, S</t>
  </si>
  <si>
    <t>Cholinesterase activities in the Antarctic scallop Adamussium colbecki:: Tissue expression and effect of ZnCl2 exposure</t>
  </si>
  <si>
    <t>MARINE ENVIRONMENTAL RESEARCH</t>
  </si>
  <si>
    <t>12th International Symposium on Pollutant Responses in Marine Organisms (PRIMO 12)</t>
  </si>
  <si>
    <t>MAY 09-13, 2003</t>
  </si>
  <si>
    <t>Safety Harbor, FL</t>
  </si>
  <si>
    <t>Adamussium colbecki; Antarctica; cholinesterase; chlorpyrifos; ZnCl2</t>
  </si>
  <si>
    <t>MYTILUS-GALLOPROVINCIALIS; OXIDATIVE STRESS; ACETYLCHOLINESTERASE; BIOMARKER; POLLUTION; METALS</t>
  </si>
  <si>
    <t>Biochemical characterization of cholinesterase activity (ChE) was carried out on the Antarctic scallop Adamussium colbecki collected in winter 2000 from Campo Icaro (Ross Sea, Antarctica) in order to increase its suitability as a sentinel organism for monitoring the Antarctic environment. The digestive gland, gills and adductor muscle were investigated for substrate specificity and inhibitors sensitivity using acetylthiocholine iodide (ASCh) and butyrylthiocholine iodide (BSCh) as substrates and tetra (monoisopropyl)pyrophosphor-tetramide (Iso-OMPA), 1,5-bis(4-allyldimethylammoniumphenyl)-penthan-3-one dibromide (BW284c51) and the insecticide chlorpyrifos as inhibitors. Effect of in vivo exposure to ZnCl2 was also investigated. All the tissues expressed ChE activity (gill &gt; adductor muscle &gt; digestive gland) and low substrates specificity throughout the hydrolysis of both ASCh and BSCh substrates. Partial (25-29%) and total inhibition (100%) of ChE activity in gills was demonstrated following in vitro incubation with Iso-OMPA and BW284c51 (3 mM), respectively. Concentration-dependent inhibition was also evident with chlorpyrifos in the range 10(-4)-10(-10) M (IC50 10(-6)) while in vivo exposure to ZnCl2 did not seem to affect ChE activity in the scallop. The potential use of ChE in the A. colbecki as biomarker for monitoring water contamination in the marine Antarctic environment is discussed. (C) 2004 Elsevier Ltd. All rights reserved.</t>
  </si>
  <si>
    <t>Univ Siena, Dept Environm Sci G Sarfatti, I-53100 Siena, Italy; Univ Padua, Dept Biol, I-35131 Padua, Italy; Univ Genoa, Dept Study Territ &amp; Resources, I-16132 Genoa, Italy</t>
  </si>
  <si>
    <t>University of Siena; University of Padua; University of Genoa</t>
  </si>
  <si>
    <t>Univ Siena, Dept Environm Sci G Sarfatti, Via Mattioli 4, I-53100 Siena, Italy.</t>
  </si>
  <si>
    <t>corsii@unisi.it</t>
  </si>
  <si>
    <t>Bonacci, Stefano/ABI-5676-2020; Santovito, Gianfranco/ABB-9484-2021; Corsi, Ilaria/D-3795-2012; Chiantore, Mariachiara/C-7070-2017</t>
  </si>
  <si>
    <t>Santovito, Gianfranco/0000-0001-8260-7006; Corsi, Ilaria/0000-0002-1811-3041; Chiantore, Mariachiara/0000-0002-5862-1470</t>
  </si>
  <si>
    <t>0141-1136</t>
  </si>
  <si>
    <t>1879-0291</t>
  </si>
  <si>
    <t>MAR ENVIRON RES</t>
  </si>
  <si>
    <t>Mar. Environ. Res.</t>
  </si>
  <si>
    <t>AUG-DEC</t>
  </si>
  <si>
    <t>2-5</t>
  </si>
  <si>
    <t>10.1016/j.marenvres.2004.03.086</t>
  </si>
  <si>
    <t>Environmental Sciences; Marine &amp; Freshwater Biology; Toxicology</t>
  </si>
  <si>
    <t>Environmental Sciences &amp; Ecology; Marine &amp; Freshwater Biology; Toxicology</t>
  </si>
  <si>
    <t>831MS</t>
  </si>
  <si>
    <t>WOS:000222199100044</t>
  </si>
  <si>
    <t>Regoli, F; Nigro, M; Chierici, E; Cerrano, C; Schiaparelli, S; Totti, C; Bavestrello, G</t>
  </si>
  <si>
    <t>Variations of antioxidant efficiency and presence of endosymbiotic diatoms in the Antarctic porifera Haliclona dancoi</t>
  </si>
  <si>
    <t>symbioses; oxyradicals; antioxidants; adaptation</t>
  </si>
  <si>
    <t>The role of endosymbiotic diatoms as pro-oxidant stressors in porifera has been investigated in the Antarctic sponge Haliclona dancoi in which the presence of diatoms is influenced by marked seasonal variations during the austral summer. Both chlorophaeopigments and frustules were absent in sponge tissues sampled in early November at the beginning of the summer and increased from the mid of December with slightly shifted temporal trends. The efficiency of antioxidant defenses in the sponge showed a marked response to symbionts with clearly enhanced values corresponding to the peak of diatoms. (C) 2004 Elsevier Ltd. All rights reserved.</t>
  </si>
  <si>
    <t>Univ Politecn Marche, Ist Biol &amp; Genet, I-60100 Ancona, Italy; Univ Pisa, Dipartimento Morfol Umana &amp; Biol Applicata, I-56100 Pisa, Italy; Univ Genoa, Dipartimento Terr Edelle Sue Risorse, Genoa, Italy; Univ Politecn Marche, Dipartimento Sci Mare, I-60100 Ancona, Italy</t>
  </si>
  <si>
    <t>Marche Polytechnic University; University of Pisa; University of Genoa; Marche Polytechnic University</t>
  </si>
  <si>
    <t>Univ Politecn Marche, Ist Biol &amp; Genet, Via Ranieri Monte Ago, I-60100 Ancona, Italy.</t>
  </si>
  <si>
    <t>regoli@univpm.it</t>
  </si>
  <si>
    <t>Bavestrello, Giorgio/JXN-5230-2024; Cerrano, Carlo/AAF-3557-2019; Schiaparelli, Stefano/AAI-4024-2020; TOTTI, Cecilia Maria/A-9178-2016; Regoli, Francesco/K-2719-2018</t>
  </si>
  <si>
    <t>Cerrano, Carlo/0000-0001-9580-5546; Schiaparelli, Stefano/0000-0002-0137-3605; TOTTI, Cecilia Maria/0000-0002-1532-6009; Regoli, Francesco/0000-0001-6084-6188</t>
  </si>
  <si>
    <t>10.1016/j.marenvres.2004.03.055</t>
  </si>
  <si>
    <t>WOS:000222199100076</t>
  </si>
  <si>
    <t>Wei, WC</t>
  </si>
  <si>
    <t>Opening of the Australia-Antarctica Gateway as dated by nannofossils</t>
  </si>
  <si>
    <t>2nd Annual Meeting of the Japanese-Society-for-Regenerative-Medicine (JRSM)</t>
  </si>
  <si>
    <t>MAR 11-12, 2003</t>
  </si>
  <si>
    <t>Kobe, JAPAN</t>
  </si>
  <si>
    <t>nannofossil; Eocene; Oligocene; Leg 189; paleoceanography; paleoclimate; Tasmanian Gateway; Southern Ocean; Antarctica</t>
  </si>
  <si>
    <t>SOUTH-ATLANTIC; OCEAN; MAGNETOBIOCHRONOLOGY; GLACIATION; CO2</t>
  </si>
  <si>
    <t>The opening of the Tasmanian Gateway between Australia and Antarctica has long been considered a critical element in the initiation of the Antarctic Circumpolar Current, thermal isolation of Antarctica, and Cenozoic global cooling. The timing for the opening of the gateway to shallow-water circulation and subsequently to deep-water circulation was poorly known, however, and the dating of these events was a major objective of ODP Leg 189. Nannofossil data from Leg 189 sites and DSDP Site 281 in the Tasmanian Gateway suggest a 41-42 Ma age for the initiation of widespread glauconite deposition in the region, which coincided with a sharp drop in sedimentation rate. This is interpreted to be the opening of the gateway to shallow-water circulation, which occurred within the middle of the 51-33 Ma long-term cooling. The change from siliciclastic sediments to pelagic carbonates, the most conspicuous sedimentological and paleontological change in the region for the last 70 Ma and presumably the indicator for the opening of the gateway to deep-water circulation, is dated at about 31 Ma. This event is more than 2 my younger than the major high-latitude cooling in the earliest Oligocene, and thus cannot be the cause for the latter. (C) 2004 Elsevier B.V. All rights reserved.</t>
  </si>
  <si>
    <t>Florida State Univ, PaleoServe, Asheville, NC 28803 USA; Florida State Univ, Dept Geosci, Tallahassee, FL 32306 USA</t>
  </si>
  <si>
    <t>State University System of Florida; Florida State University; State University System of Florida; Florida State University</t>
  </si>
  <si>
    <t>Wei, WC (corresponding author), Florida State Univ, PaleoServe, 1408 Kenton Lane, Asheville, NC 28803 USA.</t>
  </si>
  <si>
    <t>wei@paleoserve.com</t>
  </si>
  <si>
    <t>10.1016/j.marmicro.2004.04.008</t>
  </si>
  <si>
    <t>851HU</t>
  </si>
  <si>
    <t>WOS:000223677000008</t>
  </si>
  <si>
    <t>Persico, D; Villa, G</t>
  </si>
  <si>
    <t>Eocene-Oligocene calcareous nannofossils from Maud Rise and Kerguelen Plateau (Antarctica): paleoecological and paleoceanographic implications</t>
  </si>
  <si>
    <t>nannofossils; Eocene-Oligocene; Southern Ocean; paleoecology; paleoceanography</t>
  </si>
  <si>
    <t>CLIMATE-CHANGE; MIDDLE EOCENE; OCEAN; GLACIATION; SEA; MAGNETOBIOCHRONOLOGY; NANNOPLANKTON; EVOLUTION; BOUNDARY; WEST</t>
  </si>
  <si>
    <t>The evolution of the Southern Ocean climate during the late Eocene-late Oligocene interval is examined through high-resolution, quantitative calcareous nannofossil analyses on samples from the Southern Ocean sections on Maud Rise and Kerguelen Plateau. We determined the abundance patterns of the counted species to clarify the biostratigraphy, which we correlated with high-resolution magnetostratigraphy [Roberts, A.P., Bicknell, S.J., Byatt, J., Bohaty, S.M., Florindo, F., Harwood, D.M., 2003a. Magnetostratigraphic calibration of Southern Ocean diatom datums from the Eocene-Oligocene of Kerguelen Plateau (Ocean Drilling Program Sites 744 and 748). In: Florindo, F., Cooper, A.K., O'Brien, P.A. (Eds.), Antarctic Cenozoic Palaeoenvironments: Geologic Record and Models. Palaeogeogr., Palaeoclimatol., Palaeoecol. 198 145-168; Florindo, F., Roberts, A.P., in press. Eocene-Oligocene magnetobiochronology of ODP Sites 689 and 690, Maud Rise, Weddell Sea, Antarctica. Geol. Soc. Am. Bull.], and used this data to interpret paleoceanographic changes through the late Eocene to late Oligocene. Percentage plots of the individual species, compared With R-mode principal component and cluster analysis results, allowed us to divide the assemblages into three groups: temperate-water taxa, cool-water taxa, and no temperature-affinity taxa. We attempt correlations between these paleoecological groups and the major sea-surface temperature (SST) variations with tectonic and paleoceanographic changes in the Southern Ocean. During the late Eocene, the nannofossil assemblage data reveal that there were several minor SST decreases (coolings) from 36 to 34 Ma, before the Eocene/Oligocene (E/O) boundary. A sharp cooling event, dated at 33.54 Ma (earliest Oligocene), occurred about 160 kyr after the E/O boundary, which is dated at 33.7 Ma. Relatively stable, cool conditions are interpreted to persist until the latest Oligocene, when an increase in abundance of temperate-water taxa, which corresponds to an antithetical decrease in abundance of cool-water indicators, is recorded. On the basis of our dating, the opening of the Drake Passage, allowing shallow-water circulation, began by 33.54 Ma at the latest, while the establishment of deep-water connections through the Tasmanian Gateway occurred at 33 Ma, as suggested by Exon et al. [Proc. ODP, Init. Rep. 189 (2001) 1]. (C) 2004 Elsevier B.V. All rights reserved.</t>
  </si>
  <si>
    <t>Univ Parma, Dipartimento Sci Terra, I-43100 Parma, Italy</t>
  </si>
  <si>
    <t>University of Parma</t>
  </si>
  <si>
    <t>Univ Parma, Dipartimento Sci Terra, Parco Area Sci,157A, I-43100 Parma, Italy.</t>
  </si>
  <si>
    <t>giuliana.villa@unipr.it</t>
  </si>
  <si>
    <t>Persico, Davide/0000-0001-5194-9724</t>
  </si>
  <si>
    <t>10.1016/j.marmicro.2004.05.002</t>
  </si>
  <si>
    <t>WOS:000223677000009</t>
  </si>
  <si>
    <t>Osawa, T; Nagao, K; Noguchi, T; Iose, K</t>
  </si>
  <si>
    <t>Noble gas compositions of Antarctic cosmic spherules: Extremely long exposure age of an enigmatic spherule</t>
  </si>
  <si>
    <t>67th Annual Meeting of the Meteoritical-Society</t>
  </si>
  <si>
    <t>AUG 02-06, 2004</t>
  </si>
  <si>
    <t>Rio de Janeiro, BRAZIL</t>
  </si>
  <si>
    <t>INTERPLANETARY DUST</t>
  </si>
  <si>
    <t>Univ Tokyo, Grad Sch Sci, Earthquake Chem Lab, Tokyo 113, Japan; Ibaraki Univ, Dept Biol &amp; Mat Sci, Mito, Ibaraki, Japan</t>
  </si>
  <si>
    <t>University of Tokyo; Ibaraki University</t>
  </si>
  <si>
    <t>osawa@mtj.biglobe.ne.jp</t>
  </si>
  <si>
    <t>Noguchi, Takaaki/IWV-1123-2023</t>
  </si>
  <si>
    <t>Noguchi, Takaaki/0000-0001-7211-2595</t>
  </si>
  <si>
    <t>S</t>
  </si>
  <si>
    <t>A81</t>
  </si>
  <si>
    <t>842GB</t>
  </si>
  <si>
    <t>WOS:000222990600145</t>
  </si>
  <si>
    <t>Tsuchiyama, A; Okazawa, T; Noguchi, T; Yano, H; Osawa, T; Nakamura, T; Nakamura, K; Nakano, T; Uesugi, K; Yasuda, H</t>
  </si>
  <si>
    <t>Density and porosity measurement of antarctic micrometeorites using microtomography</t>
  </si>
  <si>
    <t>Osaka Univ, Dept Earth &amp; Space Sci, Suita, Osaka 565, Japan; Ibaraki Univ, Dept Mat Sci &amp; Biol Sci, Mito, Ibaraki, Japan; Univ Tokyo, Earthquake Chem Lab, Tokyo, Japan; Kyushu Univ, Dept Earth &amp; Planetary Sci, Fukuoka 812, Japan; JASRI, SP8, Sayo, Hyogo, Japan; Osaka Univ, Dept Adapt Machine Syst, Suita, Osaka 565, Japan</t>
  </si>
  <si>
    <t>Osaka University; Ibaraki University; University of Tokyo; Kyushu University; Japan Synchrotron Radiation Research Institute; Osaka University</t>
  </si>
  <si>
    <t>akira@ess.sci.osaka-u.ac.jp</t>
  </si>
  <si>
    <t>Noguchi, Takaaki/IWV-1123-2023; Yasuda, Hideyuki/K-1067-2015</t>
  </si>
  <si>
    <t>Noguchi, Takaaki/0000-0001-7211-2595; Yasuda, Hideyuki/0000-0003-2344-714X</t>
  </si>
  <si>
    <t>A107</t>
  </si>
  <si>
    <t>WOS:000222990600197</t>
  </si>
  <si>
    <t>Yabuta, H; Naraoka, H; Sakanishi, K; Kawashima, H</t>
  </si>
  <si>
    <t>Evaluation of the meteoritic alteration level using the solid-state CP/MAS 13C NMR analyses of macromolecular material in the Antarctic carbonaceous chondrites</t>
  </si>
  <si>
    <t>ORGANIC-MATTER; SPECTROSCOPY</t>
  </si>
  <si>
    <t>Arizona State Univ, Tempe, AZ 85287 USA; Okayama Univ, Okayama 7008530, Japan; Natl Inst Adv Ind Sci &amp; Technol, Tsukuba, Ibaraki 3058569, Japan</t>
  </si>
  <si>
    <t>Arizona State University; Arizona State University-Tempe; Okayama University; National Institute of Advanced Industrial Science &amp; Technology (AIST)</t>
  </si>
  <si>
    <t>Hikaru.Yabuta@asu.edu</t>
  </si>
  <si>
    <t>Kawashima, Hiroyuki/L-8707-2018; Yabuta, Hikaru/S-2662-2018</t>
  </si>
  <si>
    <t>Naraoka, Hiroshi/0000-0002-2373-8759</t>
  </si>
  <si>
    <t>A115</t>
  </si>
  <si>
    <t>WOS:000222990600213</t>
  </si>
  <si>
    <t>Burg, TM; Croxall, JP</t>
  </si>
  <si>
    <t>Global population structure and taxonomy of the wandering albatross species complex</t>
  </si>
  <si>
    <t>Diomedea spp.; microsatellite; mitochondrial DNA; Procellariformes; seabird; Southern Ocean</t>
  </si>
  <si>
    <t>MITOCHONDRIAL-DNA; SEABIRD MORTALITY; LONGLINE FISHERY; DIOMEDEA-EXULANS; HAPLOTYPES; PROGRAM; SHY</t>
  </si>
  <si>
    <t>A recent taxonomic revision of wandering albatross elevated each of the four subspecies to species. We used mitochondrial DNA and nine microsatellite markers to study the phylogenetic relationships of three species (Diomedea antipodensis, D. exulans and D. gibsoni) in the wandering albatross complex. A small number of samples from a fourth species, D. dabbenena, were analysed using mitochondrial DNA only. Mitochondrial DNA sequence analyses indicated the presence of three distinct groups within the wandering albatross complex: D. exulans, D. dabbenena and D. antipodensis/D. gibsoni. Although no fixed differences were found between D. antipodensis and D. gibsoni, a significant difference in the frequency of a single restriction site was detected using random fragment length polymorphism. Microsatellite analyses using nine variable loci, showed that D. exulans, D. antipodensis and D. gibsoni were genetically differentiated. Despite the widespread distribution of D. exulans, we did not detect any genetic differentiation among populations breeding on different island groups. The lower level of genetic differentiation between D. antipodensis and D. gibsoni should be reclassified as D. antipodensis. Within the context of the current taxonomy, these combined data support three species: D. dabbenena, D. exulans and D. antipodensis.</t>
  </si>
  <si>
    <t>Univ Cambridge, Dept Zool, Cambridge, England; British Antarctic Survey, NERC, Cambridge CB3 0ET, England</t>
  </si>
  <si>
    <t>Queens Univ, Dept Biol, Kingston, ON K7L 3N6, Canada.</t>
  </si>
  <si>
    <t>theresaburg@yahoo.com</t>
  </si>
  <si>
    <t>10.1111/j.1365-294X.2004.02232.x</t>
  </si>
  <si>
    <t>835YK</t>
  </si>
  <si>
    <t>WOS:000222521300020</t>
  </si>
  <si>
    <t>de Jong, AFM; Alderliesten, C; van der Borg, K; van der Veen, C; van De Wal, RSW</t>
  </si>
  <si>
    <t>Radiocarbon analysis of the EPICA Dome C ice core:: no in situ 14C from the firn observed</t>
  </si>
  <si>
    <t>NUCLEAR INSTRUMENTS &amp; METHODS IN PHYSICS RESEARCH SECTION B-BEAM INTERACTIONS WITH MATERIALS AND ATOMS</t>
  </si>
  <si>
    <t>9th International Conference on Accelerator Mass Spectrometry</t>
  </si>
  <si>
    <t>SEP 09-13, 2002</t>
  </si>
  <si>
    <t>Nagoya Univ, Nagoya, JAPAN</t>
  </si>
  <si>
    <t>Nagoya Univ</t>
  </si>
  <si>
    <t>radiocarbon dating; ice accumulation rates; in situ cosmogenic C-14; partitioning</t>
  </si>
  <si>
    <t>ANTARCTIC ICE; SAMPLES; BUBBLES; MUONS; RATES</t>
  </si>
  <si>
    <t>CO2 and CO obtained by dry-extraction from ice samples of the EPICA Dome C core were C-14 analysed by AMS. For some of the ice samples there is no evidence for in situ C-14, indicating the firn did not retain C-14. The C-14 ages of these samples are too old in comparison with a calibrated ice-flow model, and the concentrations of (CO)-C-14 are near zero. For other ice samples, however, in situ C-14 is clearly present, and is likely from post-coring exposure at the Dome C surface. These samples show too young C-14 ages, and distinct concentrations of (CO)-C-14. The accuracy of ages obtained from C-14 analysis of ice samples is discussed. (C) 2004 Elsevier B.V. All rights reserved.</t>
  </si>
  <si>
    <t>Univ Utrecht, Inst Subatom Phys, NL-3584 CC Utrecht, Netherlands; Univ Utrecht, Inst Marine &amp; Atmospher Res Utrecht, NL-3584 CC Utrecht, Netherlands</t>
  </si>
  <si>
    <t>Utrecht University; Utrecht University</t>
  </si>
  <si>
    <t>Univ Utrecht, Inst Subatom Phys, Princetonpl 5, NL-3584 CC Utrecht, Netherlands.</t>
  </si>
  <si>
    <t>k.vanderborg@phys.uu.nl</t>
  </si>
  <si>
    <t>van der Borg, Klaas/K-1990-2019; van der Veen, Carina/F-5344-2011; van de wal, roderik/D-1705-2011</t>
  </si>
  <si>
    <t>van der Borg, Klaas/0000-0002-5999-2804; van de wal, roderik/0000-0003-2543-3892</t>
  </si>
  <si>
    <t>0168-583X</t>
  </si>
  <si>
    <t>1872-9584</t>
  </si>
  <si>
    <t>NUCL INSTRUM METH B</t>
  </si>
  <si>
    <t>Nucl. Instrum. Methods Phys. Res. Sect. B-Beam Interact. Mater. Atoms</t>
  </si>
  <si>
    <t>10.1016/j.nimb.2004.04.097</t>
  </si>
  <si>
    <t>Instruments &amp; Instrumentation; Nuclear Science &amp; Technology; Physics, Atomic, Molecular &amp; Chemical; Physics, Nuclear</t>
  </si>
  <si>
    <t>Instruments &amp; Instrumentation; Nuclear Science &amp; Technology; Physics</t>
  </si>
  <si>
    <t>852JT</t>
  </si>
  <si>
    <t>WOS:000223752300095</t>
  </si>
  <si>
    <t>Cremer, H; Gore, D; Hultzsch, N; Melles, M; Wagner, B</t>
  </si>
  <si>
    <t>The diatom flora and limnology of lakes in the Amery Oasis, East Antarctica</t>
  </si>
  <si>
    <t>FRESH-WATER DIATOMS; SALINE LAKES; EPISHELF LAKE; RAUER ISLANDS; HILLS; RESPONSES; BIOLOGY; HISTORY; BEAVER; MODEL</t>
  </si>
  <si>
    <t>The diatom flora of three lakes in the ice-free Amery Oasis, East Antarctica, was studied. Two of the lakes are meltwater reservoirs, Terrasovoje Lake (31 m depth) and Radok Lake (362 m depth), while Beaver Lake (&gt;435 m depth) is an epishelf lake. The lakes can be characterized as cold, ultra-oligotrophic and alkaline, displaying moderate (Radok and Terrasovoje lakes) to high (Beaver Lake) conductivities. There was no diatom phytoplankton present in any of the three lakes. While 34 benthic diatom taxa were identified from modern and Holocene sediments of Terrasovoje and Radok lakes, a 30-cm long sediment core recovered in Beaver Lake was barren. Five species (Luticola muticopsis, Muelleria peraustralis, Pinnularia cymatopleura, Psammothidium metakryophilum, P. stauroneioides) are endemic to the Antarctic region. All identified taxa are photographically documented and brief notes on their taxonomy, biogeography and ecology are provided. The most abundant diatom taxa are Amphora veneta, Craticula cf. molesta, Diadesmis spp, M. peraustralis and Stauroneis anceps. This is the first report on the diatom flora in lakes of the Amery Oasis.</t>
  </si>
  <si>
    <t>Univ Utrecht, Dept Palaeoecol, Palaeobot &amp; Palynol Lab, NL-3584 CD Utrecht, Netherlands; Macquarie Univ, Dept Phys Geog, N Ryde, NSW 2109, Australia; Alfred Wegener Inst Polar &amp; Marine Res, Res Unit Potsdam, D-14473 Potsdam, Germany; Univ Leipzig, Inst Geol &amp; Geophys, Fac Phys &amp; Geosci, D-04103 Leipzig, Germany</t>
  </si>
  <si>
    <t>Utrecht University; Macquarie University; Helmholtz Association; Alfred Wegener Institute, Helmholtz Centre for Polar &amp; Marine Research; Leipzig University</t>
  </si>
  <si>
    <t>Cremer, H (corresponding author), Univ Utrecht, Dept Palaeoecol, Palaeobot &amp; Palynol Lab, Budapestlaan 4, NL-3584 CD Utrecht, Netherlands.</t>
  </si>
  <si>
    <t>h.cremer@bio.uu.nl</t>
  </si>
  <si>
    <t>Wagner, Bernd/J-4682-2012; Melles, Martin/J-4070-2012</t>
  </si>
  <si>
    <t>Wagner, Bernd/0000-0002-1369-7893; Melles, Martin/0000-0003-0977-9463; Gore, Damian/0000-0002-0377-8518; Hultzsch, Nadja/0000-0001-5545-8412</t>
  </si>
  <si>
    <t>10.1007/s00300-004-0624-2</t>
  </si>
  <si>
    <t>845SK</t>
  </si>
  <si>
    <t>WOS:000223264400002</t>
  </si>
  <si>
    <t>Van de Vijver, B; Beyens, L; Vincke, S; Gremmen, NJM</t>
  </si>
  <si>
    <t>Moss-inhabiting diatom communities from Heard Island, sub-Antarctic</t>
  </si>
  <si>
    <t>POSSESSION CROZET ARCHIPELAGO; FRESH-WATER DIATOMS; STROMNESS BAY AREA; FLORA; DIADESMIS; DIVERSITY; ECOLOGY; LAKES; ILE</t>
  </si>
  <si>
    <t>In this paper, we list 192 diatom taxa, collected from bryophyte samples from Heard Island (52degrees05'S, 73degrees30'E). The Heard Island diatom flora shows a marked similarity to those of the Crozet and Kerguelen archipelagos, and is quite dissimilar to the moss-dwelling diatom flora of Macquarie and Amsterdam Island. Based on species composition, three main groups of samples could be discerned. Each group represents a different habitat. Samples dominated by Diadesmis ingeae, Pinnularia borealis and several Psammothidium species seem to prefer the driest habitats. A special form of this community was found in shaded areas. Samples from wet habitats such as flush areas and pools were dominated by species such as Adlafia bryophila, Sellaphora tumida, Fragilaria capucina and Planothidium lanceolatum. An intermediate group was observed in more acid, but terrestrial, conditions, characterised by Eunotia paludosa and Chamaepinnularia soehrensis var. muscicola. These community patterns are similar to those found on other sub-Antarctic islands, and we suggest that a group of typical sub-Antarctic species and communities exists.</t>
  </si>
  <si>
    <t>Univ Antwerp, Dept Biol, Unit Polar Ecol Limnol &amp; Paleobiol, B-2020 Antwerp, Belgium; Data Anal Ecol, NL-7981 CD Diever, Netherlands; NIOO CEMO, NL-4400 AC Yerseke, Netherlands</t>
  </si>
  <si>
    <t>University of Antwerp; Royal Netherlands Academy of Arts &amp; Sciences; Netherlands Institute of Ecology (NIOO-KNAW)</t>
  </si>
  <si>
    <t>Univ Antwerp, Dept Biol, Unit Polar Ecol Limnol &amp; Paleobiol, Campus Middelheim,Groenenborgerlaan 171, B-2020 Antwerp, Belgium.</t>
  </si>
  <si>
    <t>bartvdv@ruca.ua.ac.be</t>
  </si>
  <si>
    <t>10.1007/s00300-004-0629-x</t>
  </si>
  <si>
    <t>WOS:000223264400003</t>
  </si>
  <si>
    <t>Lynnes, AS; Reid, K; Croxall, JP</t>
  </si>
  <si>
    <t>Diet and reproductive success of Adelie and chinstrap penguins: linking response of predators to prey population dynamics</t>
  </si>
  <si>
    <t>SOUTH-ORKNEY ISLANDS; KRILL EUPHAUSIA-SUPERBA; ANTARCTIC KRILL; SEA-ICE; BREEDING SUCCESS; FEEDING ECOLOGY; SIGNY ISLAND; PYGOSCELIS-ANTARCTICA; BECHERVAISE ISLAND; TEMPORAL VARIATION</t>
  </si>
  <si>
    <t>The diet and reproductive performance of two sympatric penguin species were studied at Signy Island, South Orkney Islands between 1997 and 2001. Each year, Adelie (Pygoscelis adeliae) and chinstrap (P. antarctica) penguins fed almost exclusively (&gt;99% by mass) on Antarctic krill; however, there was considerable inter-annual variation in reproductive output. In 1998, chinstrap penguins were adversely affected by extensive sea-ice in the vicinity of the colony, whereas Adelie penguins were unaffected by this. However, in 2000, both species suffered reduced reproductive output. Detailed analysis of the population-size structure of krill in the diet indicated a lack of recruitment of small krill into the population since 1996. A simple model of krill growth and mortality indicated that the biomass represented by the last recruiting cohort would decline dramatically between 1999 and 2000. Thus, despite the lack of a change in the proportion of krill in the diet, the population demographics of the krill population suggested that the abundance of krill may have fallen below the level required to support normal breeding success of penguins sometime before or during the 2000 breeding season. The role of marine predators as indicator species is greatly enhanced when studies provide data reflecting not only the consequences of changes in the ecosystem but also those data that elucidate the causes of such changes.</t>
  </si>
  <si>
    <t>k.reid@bas.ac.uk</t>
  </si>
  <si>
    <t>10.1007/s00300-004-0617-1</t>
  </si>
  <si>
    <t>WOS:000223264400004</t>
  </si>
  <si>
    <t>Phillips, RA; Phalan, B; Forster, IP</t>
  </si>
  <si>
    <t>Diet and long-term changes in population size and productivity of brown skuas Catharacta antarctica lonnbergi at Bird Island, South Georgia</t>
  </si>
  <si>
    <t>GIANT PETRELS MACRONECTES; GREAT SKUAS; FOOD AVAILABILITY; STERCORARIUS-PARASITICUS; POLAR; MACCORMICKI; DYNAMICS; ECOLOGY; SUCCESS; SEALS</t>
  </si>
  <si>
    <t>Breeding ecology of brown skuas (Catharacta antarctica lonnbergi) was studied at Bird Island, South Georgia in the austral summers of 2000/2001-2003/2004. A complete census recorded 467 breeding pairs in 3.55 km(2) of suitable habitat (132 pairs per km(2)), and an additional 312 nonbreeders at club-sites. Comparison with previous counts indicates two phases of population change: an initial rapid increase (3.6% per annum) from the late 1950s to early 1980s, probably attributable to increased carrion availability from the expanding Antarctic fur seal (Arctocephalus gazella) population, followed by slower growth (0.9% p.a.). Currently, seal carrion dominates the diet of skuas during incubation, with a switch to seabird prey during chick-rearing. Breeding is now later, chick growth poorer, and productivity significantly lower than in the early 1980s. There is also a strong seasonal decline in adult attendance, and chicks that hatch later and are in poorer condition are less likely to fledge. These results suggest a long-term increase in competition for carrion that is particularly apparent once fur seal pupping has ceased.</t>
  </si>
  <si>
    <t>raphil@bas.ac.uk</t>
  </si>
  <si>
    <t>Phalan, Ben/A-5783-2009</t>
  </si>
  <si>
    <t>Phalan, Ben/0000-0001-7876-7226</t>
  </si>
  <si>
    <t>10.1007/s00300-004-0633-1</t>
  </si>
  <si>
    <t>WOS:000223264400005</t>
  </si>
  <si>
    <t>Johannessen, OM; Bengtsson, L; Miles, MW; Kuzmina, SI; Semenov, VA; Alekseev, GV; Nagurnyi, AP; Zakharov, VF; Bobylev, LP; Pettersson, LH; Hasselmann, K; Cattle, AP</t>
  </si>
  <si>
    <t>Arctic climate change: observed and modelled temperature and sea-ice variability</t>
  </si>
  <si>
    <t>NORTH-ATLANTIC OSCILLATION; AIR-TEMPERATURE; ATMOSPHERIC CIRCULATION; SOLAR IRRADIANCE; GLOBAL CLIMATE; OCEAN; SIMULATION; THICKNESS; FLUXES; PERIOD</t>
  </si>
  <si>
    <t>Changes apparent in the arctic climate system in recent years require evaluation in a century-scale perspective in order to assess the Arctic's response to increasing anthropogenic greenhouse-gas forcing. Here, a new set of century- and multidecadal-scale observational data of surface air temperature (SAT) and sea ice is used in combination with ECHAM4 and HadCM3 coupled atmosphere-ice-ocean global model simulations in order to better determine and understand arctic climate variability. We show that two pronounced twentieth-century warming events, both amplified in the Arctic, were linked to sea-ice variability. SAT observations and model simulations indicate that the nature of the arctic warming in the last two decades is distinct from the early twentieth-century warm period. It is suggested strongly that the earlier warming was natural internal climate-system variability, whereas the recent SAT changes are a response to anthropogenic forcing. The area of arctic sea ice is furthermore observed to have decreased similar to8 x 10(5) km(2) (7.4%) in the past quarter century, with record-low summer ice coverage in September 2002. A set of model predictions is used to quantify changes in the ice cover through the twenty-first century, with greater reductions expected in summer than winter. In summer, a predominantly sea-ice-free Arctic is predicted for the end of this century.</t>
  </si>
  <si>
    <t>Nansen Environm &amp; Remote Sensing Ctr, Bergen, Norway; Univ Bergen, Inst Geophys, N-5020 Bergen, Norway; Max Planck Inst Meteorol, Hamburg, Germany; Univ Reading, Environm Syst Sci Ctr, Reading RG6 2AH, Berks, England; Bjerknes Ctr Climate Res, Bergen, Norway; Environm Syst Anal Res Ctr, Boulder, CO USA; Nansen Int Environm &amp; Remote Sensing Ctr, St Petersburg, Russia; RAS, Obukhov Inst Atmospher Phys, Moscow 117901, Russia; Arctic &amp; Antarctic Res Inst, St Petersburg 199226, Russia; Hadley Ctr Climate Predict &amp; Res, Bracknell, Berks, England</t>
  </si>
  <si>
    <t>Nansen Environmental &amp; Remote Sensing Center (NERSC); University of Bergen; Max Planck Society; University of Reading; Bjerknes Centre for Climate Research; Nansen Environmental &amp; Remote Sensing Center (NERSC); Russian Academy of Sciences; Obukhov Institute of Atmospheric Physics of Russian Academy of Sciences; Arctic &amp; Antarctic Research Institute; Met Office - UK; Hadley Centre</t>
  </si>
  <si>
    <t>Nansen Environm &amp; Remote Sensing Ctr, Bergen, Norway.</t>
  </si>
  <si>
    <t>ola.johannessen@nersc.no</t>
  </si>
  <si>
    <t>Pettersson, Lasse Herbert/AAM-9908-2020; Semenov, Vladimir/U-9488-2019; Semenov, Vladimir A./J-8819-2014; Bobylev, Leonid/L-4816-2017</t>
  </si>
  <si>
    <t>Semenov, Vladimir/0000-0001-7632-7921; Pettersson, Lasse/0000-0002-6005-7514</t>
  </si>
  <si>
    <t>10.1111/j.1600-0870.2004.00060.x</t>
  </si>
  <si>
    <t>844ZF</t>
  </si>
  <si>
    <t>Green Accepted, hybrid, Green Published</t>
  </si>
  <si>
    <t>WOS:000223204300007</t>
  </si>
  <si>
    <t>Adams, N</t>
  </si>
  <si>
    <t>A numerical modeling study of the weather in East Antarctica and the surrounding Southern Ocean</t>
  </si>
  <si>
    <t>WEATHER AND FORECASTING</t>
  </si>
  <si>
    <t>METEOROLOGYS GLOBAL ASSIMILATION; POLAR MM5 SIMULATIONS; PREDICTION SYSTEM; ATMOSPHERIC CIRCULATION; PERFORMANCE; CASEY; INITIALIZATION; EVOLUTION; BUREAU; EVENTS</t>
  </si>
  <si>
    <t>The requirement for more detailed and accurate weather forecasts in Antarctica has steadily grown over the past decade, to the point where more sophisticated high-resolution numerical weather prediction (NWP) systems need to be employed to provide the mesoscale prediction services demanded. The following paper discusses the performance of the Antarctic Limited-Area Prediction System (ALAPS) in providing weather forecasting support at high latitudes. Verification results based on traditional statistical techniques, including the S1 skill score and bias and root-mean-square errors, are presented. They suggest that the high-resolution gridpoint model provides no improvement over the global model used for the nesting fields. However, it is argued that the traditional statistical techniques fail to capture the advantages of the high-resolution gridpoint model, and three case studies are presented to highlight the ALAPS model performance characteristics. The first case study is an example of the model performance in forecasting extreme wind events at Casey station ( 66.279degreesS, 110.536degreesE), highlighting the ability of the model to define the flow characteristics of supergeostrophic storm events. The second case study highlights the model performance in oceanic route forecasting over the Southern Ocean, while the third provides an example of the model simulation of the katabatic flow at Mawson ( 67.601degreesS, 62.873degreesE). In each case, the ALAPS model enhanced the forecast guidance available from the global model used to provide the nesting fields and provided high-resolution data with which to explore the dynamics associated with high-latitude weather systems.</t>
  </si>
  <si>
    <t>Univ Tasmania, Antarctic CRC, Hobart, Tas 7001, Australia; Bur Meteorol, Hobart, Tas, Australia</t>
  </si>
  <si>
    <t>University of Tasmania; Bureau of Meteorology - Australia</t>
  </si>
  <si>
    <t>Adams, N (corresponding author), Univ Tasmania, Antarctic CRC, GPO Box 727, Hobart, Tas 7001, Australia.</t>
  </si>
  <si>
    <t>Neil.Adams@utas.edu.au</t>
  </si>
  <si>
    <t>0882-8156</t>
  </si>
  <si>
    <t>WEATHER FORECAST</t>
  </si>
  <si>
    <t>Weather Forecast.</t>
  </si>
  <si>
    <t>10.1175/1520-0434(2004)019&lt;0653:ANMSOT&gt;2.0.CO;2</t>
  </si>
  <si>
    <t>845UY</t>
  </si>
  <si>
    <t>WOS:000223272000001</t>
  </si>
  <si>
    <t>Marshall, GJ; Stott, PA; Turner, J; Connolley, WM; King, JC; Lachlan-Cope, TA</t>
  </si>
  <si>
    <t>Causes of exceptional atmospheric circulation changes in the Southern Hemisphere</t>
  </si>
  <si>
    <t>CENTER COUPLED MODEL; CLIMATE-CHANGE; ANNULAR MODE; ANTARCTIC OSCILLATION; 20TH-CENTURY TEMPERATURE; FLUX ADJUSTMENTS; OZONE DEPLETION; SEA-ICE; VARIABILITY; TRENDS</t>
  </si>
  <si>
    <t>We demonstrate that recent observed trends in the annual and austral summer Southern Hemisphere Annular Mode (SAM) are unlikely to be due to internal climate variability, since they exceed any equivalent-length trends in a millennial General Circulation Model (GCM) control run with constant forcings. In contrast we show that observed trends in the SAM are consistent with the combined effects of anthropogenic and natural forcings in GCM simulations. As these trends begin prior to stratospheric ozone depletion we challenge the assertion that this process is primarily responsible for changes in the SAM. Moreover, anthropogenic forcings have a larger effect on the austral summer SAM in combination with natural forcings than when acting in isolation.</t>
  </si>
  <si>
    <t>British Antarctic Survey, NERC, Cambridge CB3 0ET, England; Univ Reading, Met Off, Hadley Ctr Climate Predict &amp; Res, Reading, Berks, England</t>
  </si>
  <si>
    <t>UK Research &amp; Innovation (UKRI); Natural Environment Research Council (NERC); NERC British Antarctic Survey; Met Office - UK; Hadley Centre; University of Reading</t>
  </si>
  <si>
    <t>British Antarctic Survey, NERC, Cambridge CB3 0ET, England.</t>
  </si>
  <si>
    <t>gjma@bas.ac.uk</t>
  </si>
  <si>
    <t>Scott, Peter/GYA-5335-2022; Stott, Peter/N-1228-2016</t>
  </si>
  <si>
    <t>Stott, Peter/0000-0003-4853-7686; Turner, John/0000-0002-6111-5122</t>
  </si>
  <si>
    <t>JUL 30</t>
  </si>
  <si>
    <t>L14205</t>
  </si>
  <si>
    <t>10.1029/2004GL019952</t>
  </si>
  <si>
    <t>844UE</t>
  </si>
  <si>
    <t>WOS:000223185300002</t>
  </si>
  <si>
    <t>Rodgers, KB; Aumont, O; Madec, G; Menkes, C; Blanke, B; Monfray, P; Orr, JC; Schrag, DP</t>
  </si>
  <si>
    <t>Radiocarbon as a thermocline proxy for the eastern equatorial Pacific</t>
  </si>
  <si>
    <t>TROPICAL PACIFIC; VARIABILITY; CIRCULATION; MODEL; SHIFT; C-14</t>
  </si>
  <si>
    <t>An ocean model is used to test the idea that sea surface Delta(14)C behaves as a thermocline proxy in the eastern equatorial Pacific. The ORCA2 model, which includes Delta(14)C as a passive tracer, has been forced with reanalysis fluxes over 1948-1999, and the output is compared with a previously reported Galapagos Delta(14)C record. The model reproduces the abrupt increase in the seasonally minimum Delta(14)C in 1976/77 found in the data. This increase is associated with neither a shift of thermocline depth over the NINO3 region, nor a change in the relative proportion of Northern/Southern source waters. Rather, it is due to a decrease in the Sub-Antarctic Mode Water (SAMW) component of the upwelling water, thereby representing a decrease in entrainment of water from below the base of the directly ventilated thermocline.</t>
  </si>
  <si>
    <t>Univ Paris 06, LODYC, MNHN, IRD,CNRS, F-75252 Paris 05, France; UBO, IFREMER, CNRS, Lab Phys Oceans, F-29285 Brest, France; UPS, IRD, CNES, CNRS,Lab Etud Geophys &amp; Oceanog Spatiales, F-31401 Toulouse 4, France; CEA Saclay, LSCE, CNRS, F-91191 Gif Sur Yvette, France; Harvard Univ, Dept Earth &amp; Planetary Sci, Cambridge, MA 02138 USA</t>
  </si>
  <si>
    <t>Museum National d'Histoire Naturelle (MNHN); Institut de Recherche pour le Developpement (IRD); Centre National de la Recherche Scientifique (CNRS); Sorbonne Universite; Universite de Bretagne Occidentale; Centre National de la Recherche Scientifique (CNRS); Ifremer; Institut de Recherche pour le Developpement (IRD); Universite de Toulouse; Universite Toulouse III - Paul Sabatier; Centre National de la Recherche Scientifique (CNRS); Institut de Recherche pour le Developpement (IRD); Laboratoire d'Etudes en Geophysique et oceanographie spatiales; Universite Paris Saclay; CEA; Centre National de la Recherche Scientifique (CNRS); Harvard University</t>
  </si>
  <si>
    <t>Univ Paris 06, LODYC, MNHN, IRD,CNRS, Case 100,4 Pl Jussieu, F-75252 Paris 05, France.</t>
  </si>
  <si>
    <t>rodgers@lodyc.jussieu.fr; aumont@lodyc.jussieu.fr; gm@lodyc.jussieu.fr; menkes@lodyc.jussieu.fr; blanke@univ-brest.fr; monfray@cnes.fr; orr@cea.fr; schrag@eps.harvard.edu</t>
  </si>
  <si>
    <t>menkes, christophe/H-9085-2016; Aumont, Olivier/G-5207-2016; Rodgers, Keith/AAL-4329-2021; Orr, James C/C-5221-2009; Blanke, Buno/A-3724-2010; MONFRAY, Patrick/AAB-8665-2020; madec, gurvan/E-7825-2010; Blanke, Bruno/H-4280-2015</t>
  </si>
  <si>
    <t>Aumont, Olivier/0000-0003-3954-506X; MONFRAY, Patrick/0000-0002-3028-5591; madec, gurvan/0000-0002-6447-4198; Orr, James/0000-0002-8707-7080; Blanke, Bruno/0000-0002-1309-0952</t>
  </si>
  <si>
    <t>L14314</t>
  </si>
  <si>
    <t>10.1029/2004GL019764</t>
  </si>
  <si>
    <t>WOS:000223185300001</t>
  </si>
  <si>
    <t>Giles, J</t>
  </si>
  <si>
    <t>Russian bid to drill Antarctic lake gets chilly response</t>
  </si>
  <si>
    <t>JUL 29</t>
  </si>
  <si>
    <t>10.1038/430494b</t>
  </si>
  <si>
    <t>841QI</t>
  </si>
  <si>
    <t>WOS:000222946100010</t>
  </si>
  <si>
    <t>Timmermann, R; Worby, A; Goosse, H; Fichefet, T</t>
  </si>
  <si>
    <t>Utilizing the ASPeCt sea ice thickness data set to evaluate a global coupled sea ice-ocean model</t>
  </si>
  <si>
    <t>Southern Ocean; sea ice thickness; ASPeCt</t>
  </si>
  <si>
    <t>WEDDELL SEA; VARIABILITY; CIRCULATION; DYNAMICS; DRIFT</t>
  </si>
  <si>
    <t>[1] Simulated sea ice thickness in the ORCA2-LIM coupled sea ice - ocean model is compared with thicknesses from the Antarctic Sea Ice Processes and Climate (ASPeCt) database. We find a qualitative agreement of the large-scale patterns of ice thickness distribution. Regional averages for the various sectors of the Southern Ocean yield a very good correspondence between observations and model data. Exceptions are the eastern Bellingshausen and northwestern Weddell Seas. A poor representation of the Antarctic Peninsula in the atmospheric forcing data and the related overestimation of westerly winds in this region lead to a spurious accumulation of sea ice on the western side of the peninsula and to an underestimation of sea ice coverage on the eastern side. Since the spatial scale of observations is not comparable to the size of a model grid cell, there is little agreement between individual observations and the corresponding model ice thicknesses. A model analysis of the seasonal and interannual variability indicates that the ASPeCt data underestimate the climatological ice thickness in the central and southern Weddell Sea and the eastern Ross Sea by up to 1 m. Because of a winter bias in the observations an overestimation of similar magnitude is expected in the Bellingshausen Sea. Ice thickness data in most of the Indo-Pacific sector appear to be representative for the long-term climatology. A model estimate of the bias is used to compute a revised distribution of climatological sea ice thickness.</t>
  </si>
  <si>
    <t>Catholic Univ Louvain, Inst Astron &amp; Geophys Georges Lemaitre, B-1348 Louvain, Belgium; Australian Antarctic Div, Dept Environm &amp; Heritage, Kingston, Tas 7050, Australia; Antarctic Climate &amp; Ecosyst CRC, Kingston, Tas 7050, Australia</t>
  </si>
  <si>
    <t>Universite Catholique Louvain; Australian Antarctic Division; University of Tasmania</t>
  </si>
  <si>
    <t>Alfred Wegener Inst Polar &amp; Marine Res, Postfach 120161, D-27515 Bremerhaven, Germany.</t>
  </si>
  <si>
    <t>rtimmermann@awi-bremerhaven.de; a.worby@utas.edu.au; hgs@astr.ucl.ac.be; fichefet@astr.ucl.ac.be</t>
  </si>
  <si>
    <t>Worby, Anthony P/A-2373-2012</t>
  </si>
  <si>
    <t>JUL 22</t>
  </si>
  <si>
    <t>C7</t>
  </si>
  <si>
    <t>C07017</t>
  </si>
  <si>
    <t>10.1029/2003JC002242</t>
  </si>
  <si>
    <t>841GI</t>
  </si>
  <si>
    <t>WOS:000222917300003</t>
  </si>
  <si>
    <t>Carginale, V; Trinchella, F; Capasso, C; Scudiero, R; Parisi, E</t>
  </si>
  <si>
    <t>Gene amplification and cold adaptation of pepsin in Antarctic fish. A possible strategy for food digestion at low temperature</t>
  </si>
  <si>
    <t>GENE</t>
  </si>
  <si>
    <t>Antarctic notothenioids; evolution; homology modeling; hydropathy; flexibility</t>
  </si>
  <si>
    <t>ASPARTIC PROTEINASES; EVOLUTION; DIVERGENCE; MECHANISM; ENZYMES</t>
  </si>
  <si>
    <t>Cold-adapted organisms have developed a number of adjustments at the molecular level to maintain metabolic functions at low temperatures. Among other features, they can produce enzymes characterized by a high turnover number or a high catalytic efficiency. The present work is aimed at investigating the process of food digestion at low temperature through the study of pepsins in Antarctic notothenioids. For such a purpose, we have cloned and sequenced three forms of pepsin A and a single form of gastricsin from the gastric mucosa of Trematomus bernacchii (rock cod). Phylogenetic analysis has suggested that the three pepsin A isotypes arose from two gene duplication events leading to the most ancestral pepsin A3 and to the most recent forms represented by pepsin A1 and pepsin A2. Molecular modeling has unraveled significant structural differences in these enzymes with respect to their mesophilic counterparts. Hydropathy and flexibility determined on the substrate-binding subsites of Antarctic and mesophilic pepsins have shown for pepsin A2 reduced hydropathy and increased flexibility at the level of the substrate cleft, features typical of cold-adapted enzymes. Northern blot analysis of RNA from rock cod gastric mucosa hybridized with molecular probes designed on specific regions of different pepsin forms has shown that rock cod pepsin genes are expressed at comparable levels. The present results suggest that the Antarctic rock cod adopted two different strategies to accomplish efficient protein digestion at low temperature. One mechanism is the gene duplication that increases enzyme production to compensate for the reduced kinetic efficiency, the other is the expression of a new enzyme provided with features typical of cold-adapted enzymes. (C) 2004 Elsevier B.V. All rights reserved.</t>
  </si>
  <si>
    <t>CNR, Inst Prot Biochem, I-80125 Naples, Italy; Univ Naples Federico II, Dept Evolutionary &amp; Comparat Biol, Naples, Italy</t>
  </si>
  <si>
    <t>Consiglio Nazionale delle Ricerche (CNR); Istituto di Biochimica delle Proteine (IBP-CNR); University of Naples Federico II</t>
  </si>
  <si>
    <t>CNR, Inst Prot Biochem, Via Marconi 10, I-80125 Naples, Italy.</t>
  </si>
  <si>
    <t>e.parisi@ibp.cnr.it</t>
  </si>
  <si>
    <t>Scudiero, Rosaria/AAI-2119-2020; CAPASSO, CLEMENTE/P-3522-2016; Carginale, Vincenzo/N-2531-2014</t>
  </si>
  <si>
    <t>CAPASSO, CLEMENTE/0000-0003-3314-2411; Carginale, Vincenzo/0000-0002-1842-494X; Scudiero, Rosaria/0000-0002-8186-9722</t>
  </si>
  <si>
    <t>0378-1119</t>
  </si>
  <si>
    <t>1879-0038</t>
  </si>
  <si>
    <t>Gene</t>
  </si>
  <si>
    <t>JUL 21</t>
  </si>
  <si>
    <t>10.1016/j.gene.2004.04.030</t>
  </si>
  <si>
    <t>Genetics &amp; Heredity</t>
  </si>
  <si>
    <t>842WB</t>
  </si>
  <si>
    <t>WOS:000223034100006</t>
  </si>
  <si>
    <t>Helbling, EW; Barbieri, ES; Sinha, RP; Villafañe, VE; Häder, DP</t>
  </si>
  <si>
    <t>Dynamics of potentially protective compounds in Rhodophyta species from Patagonia (Argentina) exposed to solar radiation</t>
  </si>
  <si>
    <t>JOURNAL OF PHOTOCHEMISTRY AND PHOTOBIOLOGY B-BIOLOGY</t>
  </si>
  <si>
    <t>PAR; patagonia; rhodophyta; UV-absorbing compounds; UVR</t>
  </si>
  <si>
    <t>INDUCED DNA-DAMAGE; AMINO-ACIDS; ULTRAVIOLET-RADIATION; MARINE MACROALGAE; UV-RADIATION; PORPHYRA-UMBILICALIS; PHOTOPROTECTIVE COMPOUNDS; ANTARCTIC MACROALGAE; PHOTOSYNTHESIS; PHOTOINHIBITION</t>
  </si>
  <si>
    <t>The impact of solar radiation upon potentially protective compounds (i.e., UV-absorbing compounds and carotenoids) was assessed in four Rhodophyte species from Patagonia (i.e., Ceramium sp. Lyngbye, Corallina officinalis Linnaeus, Callithamnion gaudichaudii Agardh and Porphyra columbina Montagne) during short-term (i.e., 46 h) experiments. Algae were exposed to solar radiation under two treatments (PAR only: 400-700 nm, and PAR + UVR: 280-700 nm) and sub-samples were taken every 3 h (or longer periods at night) to determine the spectral absorption characteristics and concentration of UV-absorbing compounds, carotenoids and photosynthetic pigments. Except for C gaudichaudii which displayed a decrease in chl-a concentration throughout the experiment, photosynthetic pigments had small variations in all species. UV-absorbing compounds concentration had species-specific responses: Ceramium sp. was the only species in which UV-absorbing compounds coneentration varied as a function of solar irradiance, with maximum values around local noon. In C officinalis and P. columbina. UV-absorbing compounds concentration increased as compared to that of chl-a; in Ceramium sp. and C gaudichaudii, however, there was no relationship between UV-absorbing compounds content and chl-a concentration. Carotenoids, on the other hand, did co-vary with chl-a in all species. Our data,suggest that, with the exception of C gaudichaudii, the differential responses of UV-absorbing compounds concentrations are more associated to the previous light history of the algae (i.e., in turn due to their position in the intertidal zone) rather than to the radiation treatment imposed to the samples. Based on our results, the variable impact of solar radiation, upon productivity (and eventually biodiversity) of macroalgae from Patagonia might consequently differentially affect higher trophic levels of the aquatic food web. (C) 2004 Elsevier B.V. All rights reserved.</t>
  </si>
  <si>
    <t>Estac Fotobiol Playa Union, RA-9103 Rawson, Chubut, Argentina; Consejo Nacl Invest Cient &amp; Tecn, RA-9103 Rawson, Chubut, Argentina; Univ Erlangen Nurnberg, Inst Bot &amp; Pharmazeut Biol, D-91058 Erlangen, Germany</t>
  </si>
  <si>
    <t>Consejo Nacional de Investigaciones Cientificas y Tecnicas (CONICET); University of Erlangen Nuremberg</t>
  </si>
  <si>
    <t>Helbling, EW (corresponding author), Estac Fotobiol Playa Union, Rifleros 227, RA-9103 Rawson, Chubut, Argentina.</t>
  </si>
  <si>
    <t>whelbling@efpu.org.ar</t>
  </si>
  <si>
    <t>Sinha, Rajeshwar/CAC-2606-2022</t>
  </si>
  <si>
    <t>Sinha, Rajeshwar/0000-0002-0112-6161; Villafane, Virginia/0000-0002-9552-6069</t>
  </si>
  <si>
    <t>ELSEVIER SCIENCE SA</t>
  </si>
  <si>
    <t>LAUSANNE</t>
  </si>
  <si>
    <t>PO BOX 564, 1001 LAUSANNE, SWITZERLAND</t>
  </si>
  <si>
    <t>1011-1344</t>
  </si>
  <si>
    <t>J PHOTOCH PHOTOBIO B</t>
  </si>
  <si>
    <t>J. Photochem. Photobiol. B-Biol.</t>
  </si>
  <si>
    <t>JUL 19</t>
  </si>
  <si>
    <t>10.1016/j.jphotobiol.2004.05.006</t>
  </si>
  <si>
    <t>841JN</t>
  </si>
  <si>
    <t>WOS:000222926200009</t>
  </si>
  <si>
    <t>Dowdy, AJ; Vincent, RA; Murphy, DJ; Tsutsumi, M; Riggin, DM; Jarvis, MJ</t>
  </si>
  <si>
    <t>The large-scale dynamics of the mesosphere-lower thermosphere during the Southern Hemisphere stratospheric warming of 2002</t>
  </si>
  <si>
    <t>PLANETARY-WAVES; CIRCULATION; VARIABILITY; WINTER; MIDDLE</t>
  </si>
  <si>
    <t>An unprecedented major stratospheric warming occurred in the Antarctic winter of 2002. We present measurements of winds in the mesosphere-lower thermosphere (MLT) made with MF radars located at Davis (69degreesS, 78degreesE), Syowa (69degreesS, 40degreesE) and Rothera (68degreesS, 68degreesW). The mesospheric wind field in 2002 was found to be considerably different to other years due to increased planetary wave activity throughout the winter. Zonal winds were weaker than usual during the 2002 winter and also during the transition to the summer circulation. The MLT zonal winds showed a reversal about one week earlier than the stratospheric reversal associated with the warming. Meridional winds showed oscillations consistent with the presence of traveling wave-1 planetary waves with periods similar to14 days. The results are compared with similar mesospheric observations made during northern hemisphere stratospheric warmings. Some similarities between hemispheres were found, notably that the reversal in the mesospheric winds precedes the warming events.</t>
  </si>
  <si>
    <t>Univ Adelaide, Dept Phys, Adelaide, SA 5005, Australia; Australian Antarctic Div, Kingston, Tas 7050, Australia; Natl Inst Polar Res, Itabashi Ku, Tokyo 1738515, Japan; Colorado Res Associates, Boulder, CO 80301 USA; British Antarctic Survey, Cambridge CB3 0ET, England</t>
  </si>
  <si>
    <t>University of Adelaide; Australian Antarctic Division; Research Organization of Information &amp; Systems (ROIS); National Institute of Polar Research (NIPR) - Japan; UK Research &amp; Innovation (UKRI); Natural Environment Research Council (NERC); NERC British Antarctic Survey</t>
  </si>
  <si>
    <t>Univ Adelaide, Dept Phys, Adelaide, SA 5005, Australia.</t>
  </si>
  <si>
    <t>andrew.dowdy@adelaide.edu.au; robert.vincent@adelaide.edu.au; damian.murphy@aad.gov.au; tutumi@uap.nipr.ac.jp; riggin@colorado-research.com; m.jarvis@bas.ac.uk</t>
  </si>
  <si>
    <t>Vincent, Robert A/E-5450-2013; Dowdy, Andrew/J-3414-2016</t>
  </si>
  <si>
    <t>Vincent, Robert A/0000-0001-6559-6544; Dowdy, Andrew/0000-0003-0720-4471</t>
  </si>
  <si>
    <t>JUL 17</t>
  </si>
  <si>
    <t>L14102</t>
  </si>
  <si>
    <t>10.1029/2004GL020282</t>
  </si>
  <si>
    <t>839PN</t>
  </si>
  <si>
    <t>WOS:000222797100006</t>
  </si>
  <si>
    <t>Jacquet, SHM; Dehairs, F; Rintoul, S</t>
  </si>
  <si>
    <t>A high resolution transect of dissolved barium in the Southern Ocean</t>
  </si>
  <si>
    <t>SUSPENDED PARTICLES; MARINE BARITE; CIRCULATION; SATURATION; AUSTRALIA; WATERS</t>
  </si>
  <si>
    <t>The dissolved Barium ( Bad) distribution in the whole water column was examined along the WOCE SR3 line in the Southern Ocean ( Australian sector, late winter-spring 2001). The high sampling resolution offered an excellent opportunity to relate the Bad distribution to frontal structures and the water masses. Such a high resolution was not achieved in previous Southern Ocean studies and showed the tight overprinting of the frontal zones by Bad gradients. Hydrodynamic control on Bad is evident in the case of Antarctic Bottom Water formation, westward flow of Tasman Sea waters and return flow of an eddy of the SubAntarctic Front. However biogeochemical processes are also acting, as witnessed by enhanced Bad contents in deep waters of the SubAntarctic Front zone and by a local mesopelagic minimum in the Inter Polar Front Zone. These features are respectively ascribed to the dissolution of Ba-rich phases and Ba transfer from solution to particles.</t>
  </si>
  <si>
    <t>Free Univ Brussels, Dept Analyt &amp; Environm Chem, B-1050 Brussels, Belgium; Ctr Oceanol Marseille, Lab Oceanog &amp; Biogeochim, Marseille, France; CSIRO Marine Res, Hobart, Tas 7001, Australia; Univ Tasmania, Antarctic Climate &amp; Ecosyst Cooperat Res Ctr, Hobart, Tas, Australia</t>
  </si>
  <si>
    <t>Universite Libre de Bruxelles; Commonwealth Scientific &amp; Industrial Research Organisation (CSIRO); University of Tasmania; Antarctic Climate &amp; Ecosystems Cooperative Research Centre (ACE CRC)</t>
  </si>
  <si>
    <t>Free Univ Brussels, Dept Analyt &amp; Environm Chem, Pleinlaan 2, B-1050 Brussels, Belgium.</t>
  </si>
  <si>
    <t>sjacquet@vub.ac.be</t>
  </si>
  <si>
    <t>Rintoul, Stephen R/A-1471-2012; jacquet, stéphanie/K-8678-2016</t>
  </si>
  <si>
    <t>Rintoul, Stephen R/0000-0002-7055-9876;</t>
  </si>
  <si>
    <t>L14301</t>
  </si>
  <si>
    <t>10.1029/2004GL020016</t>
  </si>
  <si>
    <t>WOS:000222797100002</t>
  </si>
  <si>
    <t>Mecking, S; Warner, MJ; Greene, CE; Hautala, SL; Sonnerup, RE</t>
  </si>
  <si>
    <t>Influence of mixing on CFC uptake and CFC ages in the North Pacific thermocline</t>
  </si>
  <si>
    <t>tracers; mixing; thermocline</t>
  </si>
  <si>
    <t>ANTARCTIC INTERMEDIATE WATER; ANTHROPOGENIC CO2; OXYGEN UTILIZATION; OCEAN VENTILATION; INDIAN-OCEAN; SARGASSO SEA; ATLANTIC; TRACER; CIRCULATION; CARBON</t>
  </si>
  <si>
    <t>[1] A diagnostic, isopycnal advection-diffusion model based on a climatological, geostrophic flow field is used to study the uptake of chlorofluorocarbons (CFCs) into the portion of the thermocline that outcrops in the open North Pacific (sigma(theta) less than or equal to 26.6 kg m(-3)). In addition to advection, isopycnal diffusion is required to match the CFC data collected during the World Ocean Circulation Experiment (WOCE) in the early 1990s. Using reduced outcrop saturations of 80 - 95% for isopycnals outcropping in the northwestern North Pacific (sigma(theta) greater than or equal to 25.4 kg m(-3)), together with an isopcynal interior diffusivity of 2000 m(2) s(-1) and enhanced diffusion (5000 m(2) s(-1)) in the Kuroshio Extension region, further improves the model-data agreement. Along-isopycnal diffusion is particularly important for isopycnals with shadow zones/pool regions in the western subtropical North Pacific that are isolated from direct advective ventilation. The isopycnal mixing causes an estimated increase in CFC-12 inventories on these isopycnals, compared to advection only, ranging from 10 - 20% (sigma(theta) = 25.6 kg m(-3)) to 50 - 130% (sigma(theta) = 26.6 kg m(-3)) over the subtropics in 1993. This contribution has important consequences for subduction rate estimates derived from CFC inventories and for the location of the subsurface CFC maxima. When tracer ages are derived from the modeled CFC distributions, time-evolving mixing biases become apparent that reflect the nonlinearities in the atmospheric CFC time histories. Comparison with model-calculated ideal ages suggests that during the time of WOCE ( similar to 1993), ventilation ages based on CFC-12 were biased young by as much as 16 - 24 years for pCFC-12 ages of 25 years, underestimating ideal ages by as much as 40 - 50%.</t>
  </si>
  <si>
    <t>Woods Hole Oceanog Inst, Woods Hole, MA 02543 USA; Univ Washington, Sch Oceanog, Seattle, WA 98195 USA; Univ Washington, Joint Inst Study Atmosphere &amp; Ocean, Seattle, WA 98195 USA</t>
  </si>
  <si>
    <t>Woods Hole Oceanographic Institution; University of Washington; University of Washington Seattle; University of Washington; University of Washington Seattle</t>
  </si>
  <si>
    <t>Woods Hole Oceanog Inst, 360 Woods Hole Rd, Woods Hole, MA 02543 USA.</t>
  </si>
  <si>
    <t>smecking@whoi.edu; mwarner@ocean.washington.edu; greene@nasw.org; susanh@ocean.washington.edu; rolf.sonnerup@noaa.gov</t>
  </si>
  <si>
    <t>Hautala, Susan/KHD-4226-2024</t>
  </si>
  <si>
    <t>Hautala, Susan/0000-0001-7935-8125; Warner, Mark J/0000-0001-7678-441X</t>
  </si>
  <si>
    <t>C07014</t>
  </si>
  <si>
    <t>10.1029/2003JC001988</t>
  </si>
  <si>
    <t>839QA</t>
  </si>
  <si>
    <t>WOS:000222798400002</t>
  </si>
  <si>
    <t>Sabine, CL; Feely, RA; Gruber, N; Key, RM; Lee, K; Bullister, JL; Wanninkhof, R; Wong, CS; Wallace, DWR; Tilbrook, B; Millero, FJ; Peng, TH; Kozyr, A; Ono, T; Rios, AF</t>
  </si>
  <si>
    <t>The oceanic sink for anthropogenic CO2</t>
  </si>
  <si>
    <t>ATMOSPHERIC CO2; RED-SEA; INVENTORY; WATER</t>
  </si>
  <si>
    <t>Using inorganic carbon measurements from an international survey effort in the 1990s and a tracer-based separation technique, we estimate a global oceanic anthropogenic carbon dioxide (CO2) sink for the period from 1800 to 1994 of 118 +/- 19 petagrams of carbon. The oceanic sink accounts for similar to48% of the total fossil-fuel and cement-manufacturing emissions, implying that the terrestrial biosphere was a net source of CO2 to the atmosphere of about 39 +/- 28 petagrams of carbon for this period. The current fraction of total anthropogenic CO2 emissions stored in the ocean appears to be about one-third of the long-term potential.</t>
  </si>
  <si>
    <t>NOAA, Pacific Marine Environm Lab, Seattle, WA 98115 USA; Univ Calif Los Angeles, Inst Geophys &amp; Planetary Phys, Los Angeles, CA 90095 USA; Univ Calif Los Angeles, Dept Atmospher &amp; Ocean Sci, Los Angeles, CA 90095 USA; Princeton Univ, Program Atmospher &amp; Ocean Sci, Princeton, NJ 08544 USA; Pohang Univ Sci &amp; Technol, Pohang 790784, South Korea; NOAA, Atlantic Oceanog &amp; Meteorol Lab, Miami, FL 33149 USA; Fisheries Oceans Canada Inst Ocean Sci, Climate Chem Lab, Sidney, BC V8L 4B2, Canada; Univ Kiel, Leibniz Inst Meereswissensch, Forsch Bereich Marine Biochem, IFM,GEOMAR, D-24105 Kiel, Germany; CSIRO, Marine Res &amp; Antarctic Climate &amp; Ecosyst Cooperat, Hobart, Tas 7001, Australia; Univ Miami, Rosenstiel Sch Marine &amp; Atmospher Sci, Div Marine &amp; Atmospher Sci, Miami, FL 33149 USA; Oak Ridge Natl Lab, Carbon Dioxide Informat Anal Ctr, US Dept Energy, Oak Ridge, TN 37831 USA; Inst Global Change Res, Frontier Res Syst Global Change, Minato Ku, Hamamatsu, Shizuoka 1050013, Japan; CSIC, Inst Invest Marinas, Vigo 36208, Spain</t>
  </si>
  <si>
    <t>National Oceanic Atmospheric Admin (NOAA) - USA; University of California System; University of California Los Angeles; University of California System; University of California Los Angeles; Princeton University; National Oceanic Atmospheric Admin (NOAA) - USA; Pohang University of Science &amp; Technology (POSTECH); National Oceanic Atmospheric Admin (NOAA) - USA; Atlantic Oceanographic &amp; Meteorological Laboratory (AOML); Fisheries &amp; Oceans Canada; Helmholtz Association; GEOMAR Helmholtz Center for Ocean Research Kiel; University of Kiel; Commonwealth Scientific &amp; Industrial Research Organisation (CSIRO); University of Miami; United States Department of Energy (DOE); Oak Ridge National Laboratory; Japan Agency for Marine-Earth Science &amp; Technology (JAMSTEC); Consejo Superior de Investigaciones Cientificas (CSIC); CSIC - Instituto de Investigaciones Marinas (IIM)</t>
  </si>
  <si>
    <t>NOAA, Pacific Marine Environm Lab, 7600 Sand Point Way NE, Seattle, WA 98115 USA.</t>
  </si>
  <si>
    <t>chris.sabine@noaa.gov</t>
  </si>
  <si>
    <t>Lee, Kitack/G-7184-2015; Tilbrook, Bronte/W-4007-2019; Feely, Richard A./ABI-5740-2020; Gruber, Nicolas/B-7013-2009</t>
  </si>
  <si>
    <t>Tilbrook, Bronte/0000-0001-9385-3827; Gruber, Nicolas/0000-0002-2085-2310; Lee, Kitack/0000-0002-4226-2303</t>
  </si>
  <si>
    <t>JUL 16</t>
  </si>
  <si>
    <t>10.1126/science.1097403</t>
  </si>
  <si>
    <t>837TE</t>
  </si>
  <si>
    <t>Green Submitted, Green Published, Green Accepted</t>
  </si>
  <si>
    <t>WOS:000222662400030</t>
  </si>
  <si>
    <t>Di Vincenzo, G; Rocchi, S; Rossetti, F; Storti, F</t>
  </si>
  <si>
    <t>40Ar/39Ar dating of pseudotachylytes: the effect of clast-hosted extraneous argon in Cenozoic fault-generated friction melts from the West Antarctic Rift System</t>
  </si>
  <si>
    <t>40Ar/39Ar dating; pseudotachylyte; coseismic faulting; strike-slip fault; northern Victoria Land; Antarctica</t>
  </si>
  <si>
    <t>NORTHERN VICTORIA LAND; LASER-PROBE 40AR/39AR; AGE; CONSTRAINTS; MECHANISMS; EXTENSION; ISOTOPES; RANGES; THRUST; ORIGIN</t>
  </si>
  <si>
    <t>Fault-generated pseudotachylytes are the product of frictional melting during high-velocity slip associated with coseismic faulting. 40Ar/39Ar dating of pseudotachylytes represents a powerful tool to directly determine the age of brittle faulting which is otherwise dated only indirectly. However, the pronounced spatial heterogeneity of most endogenically generated pseudotachylytes, due to the intimate coexistence of unmelted mineral clasts from the source rock, frictional glass and neogenic igneous minerals, often precludes a straightforward interpretation of argon data. This requires careful evaluation of the role of clasts in plaguing the age record of the pseudotachylyte matrix. This study exploits the full potential of the 40Ar/39Ar method, using laser step-heating and laser in situ techniques in conjunction with textural and chemical characterisation at the microscale to disentangle the complexity of the first record of pseudotachylytes generated in the right-lateral fault systems which dissect the western shoulder of the West Antarctic Rift System. Pseudotachylytes occur as fault and injection veins. They exhibit glassy matrices with a potassium feldspar-like composition, and invariably contain, at a millimeter to microscopic scale, unmelted quartz and subordinate feldspars from the source rock. Injection veins characteristically contain much fewer mineral clasts. In situ ultraviolet (UV) laser analyses indicate that quartz from the host rock and from clasts within the fault veins contains significant amounts (similar to 10-50 ppb) of parentless 40Ar, most probably hosted in microscopic to submicroscopic fluid inclusions, associated with high Cl/K ratios. Infrared laser step-heating experiments on fault vein pseudotachylyte matrices yield strongly discordant age spectra with an overall saddle shape characterised by a minimum at similar to 34 Ma, unrealistically old ages at high temperatures associated with high Cl/K ratios and total gas ages of 41.5-44.3 Ma. Petrographic data and the pronounced compositional similarity between in situ UV laser data on quartz and the high-temperature end member of step-heating analyses suggest that quartz is the main contaminant of the pseudotachylyte age record. In situ laserprobe analyses on pseudotachylyte matrices give concordant ages at similar to 34 Ma for an injection vein and systematically older ages, clustering at similar to 40-48 Ma, for fault veins. Although the age cluster fits into the Cenozoic tectonic framework of the region, it is an artefact due to the low spatial resolution of the argon laserprobe compared to the size and spatial distribution of quartz clasts within the pseudotachylyte. The isochron age of 34.11 +/- 0.96 Ma, derived from in situ data from the injection vein, overlaps with the emplacement age of syn-tectonic dykes from nearby areas and is interpreted to date a single episode of coseismic faulting. Regionally, the age of the studied pseudotachylytes represents the first direct onshore evidence of right-lateral strike-slip fault system activity in Victoria Land during the Cenozoic. (C) 2004 Elsevier B.V. All rights reserved.</t>
  </si>
  <si>
    <t>CNR, Ist Geosci &amp; Georisorse, I-56124 Pisa, Italy; Univ Pisa, Dipartimento Sci Terra, I-56126 Pisa, Italy; Univ Roma Tre, Dipartimento Sci Geol, I-00146 Rome, Italy</t>
  </si>
  <si>
    <t>Consiglio Nazionale delle Ricerche (CNR); Istituto di Geoscienze e Georisorse (IGG-CNR); University of Pisa; Roma Tre University</t>
  </si>
  <si>
    <t>CNR, Ist Geosci &amp; Georisorse, Via Moruzzi 1, I-56124 Pisa, Italy.</t>
  </si>
  <si>
    <t>g.divincenzo@igg.cnr.it</t>
  </si>
  <si>
    <t>Rossetti, Federico/C-1391-2009; Storti, Fabrizio/D-9358-2017; Rocchi, Sergio/A-7752-2018</t>
  </si>
  <si>
    <t>Rossetti, Federico/0000-0001-8071-7252; Rocchi, Sergio/0000-0001-6868-1939; DI VINCENZO, GIANFRANCO/0000-0002-9669-9789; Storti, Fabrizio/0000-0003-2809-9471</t>
  </si>
  <si>
    <t>JUL 15</t>
  </si>
  <si>
    <t>10.1016/j.epsl.2004.04.042</t>
  </si>
  <si>
    <t>841VX</t>
  </si>
  <si>
    <t>WOS:000222961000008</t>
  </si>
  <si>
    <t>Ahn, J; Wahlen, M; Deck, BL; Brook, EJ; Mayewski, PA; Taylor, KC; White, JWC</t>
  </si>
  <si>
    <t>A record of atmospheric CO2 during the last 40,000 years from the Siple Dome, Antarctica ice core -: art. no. D13305</t>
  </si>
  <si>
    <t>CO2; paleoclimate; Siple Dome</t>
  </si>
  <si>
    <t>ABRUPT CLIMATE-CHANGE; TAYLOR DOME; POLAR ICE; CARBON-CYCLE; KYR BP; GREENLAND; AIR</t>
  </si>
  <si>
    <t>[ 1] We have measured the CO2 concentration of air occluded during the last 40,000 years in the deep Siple Dome A ( hereafter Siple Dome) ice core, Antarctica. The general trend of CO2 concentration from Siple Dome ice follows the temperature inferred from the isotopic composition of the ice and is mostly in agreement with other Antarctic ice core CO2 records. CO2 rose initially at similar to 17.5 kyr B. P. ( thousand years before 1950), decreased slowly during the Antarctic Cold Reversal, rose during the Younger Dryas, fell to a local minimum at around 8 kyr B. P., and rose continuously since then. The CO2 concentration never reached steady state during the Holocene, as also found in the Taylor Dome and EPICA Dome C ( hereafter Dome C) records. During the last glacial termination, a lag of CO2 versus Siple Dome isotopic temperature is probable. The Siple Dome CO2 concentrations during the last glacial termination and in the Holocene are at certain times greater than in other Antarctic ice cores by up to 20 ppm (mumol CO2/mol air). While in situ production of CO2 is one possible cause of the sporadic elevated levels, the mechanism leading to the enrichment is not yet clear.</t>
  </si>
  <si>
    <t>Univ Calif San Diego, Scripps Inst Oceanog, La Jolla, CA 92093 USA; Washington State Univ, Dept Geol, Vancouver, WA 98686 USA; Washington State Univ, Environm Sci Program, Vancouver, WA 98686 USA; Univ Maine, Climate Change Inst, Orono, ME 04469 USA; Univ Nevada, Desert Res Inst, Reno, NV 89512 USA; Univ Colorado, INSTAAR, Boulder, CO 80309 USA</t>
  </si>
  <si>
    <t>University of California System; University of California San Diego; Scripps Institution of Oceanography; Washington State University; Washington State University; University of Maine System; University of Maine Orono; Nevada System of Higher Education (NSHE); Desert Research Institute NSHE; University of Nevada Reno; University of Colorado System; University of Colorado Boulder</t>
  </si>
  <si>
    <t>jiahn@ucsd.edu</t>
  </si>
  <si>
    <t>Mayewski, Paul Andrew/HRD-6969-2023; White, James W.C./A-7845-2009; Brook, Edward/AAB-7807-2021; Taylor, Kendrick/A-3469-2016</t>
  </si>
  <si>
    <t>Taylor, Kendrick/0000-0001-8535-1261</t>
  </si>
  <si>
    <t>D13</t>
  </si>
  <si>
    <t>D13305</t>
  </si>
  <si>
    <t>10.1029/2003JD004415</t>
  </si>
  <si>
    <t>839PT</t>
  </si>
  <si>
    <t>WOS:000222797700001</t>
  </si>
  <si>
    <t>Worby, AP; Comiso, JC</t>
  </si>
  <si>
    <t>Studies of the Antarctic sea ice edge and ice extent from satellite and ship observations</t>
  </si>
  <si>
    <t>Antarctic; sea ice; ice edge; passive microwave; ASPECT</t>
  </si>
  <si>
    <t>THICKNESS DISTRIBUTION; OCEAN; SIMULATIONS; DECLINE</t>
  </si>
  <si>
    <t>Passive microwave-derived ice edge locations in the Antarctic are assessed against in situ observations from ships between 1989 and 2000. During the growth season (March-October), the ship data agrees with satellite data very well, with r(2) values of 0.99 and 0.97 for the Bootstrap and Team algorithms, respectively. During the melt season (November-February), the agreement is not so good with the passive microwave ice edge typically 1-2degrees of latitude south of the observations. This is due to the low concentration and saturated nature of the ice, and the r(2) values for this period are 0.92 and 0.80 for the Bootstrap and Team algorithms, respectively. Sensitivity studies show that such an offset in the summer ice edge location can cause significant errors in trend studies of the extent of sea ice cover in the Southern Ocean. The passive microwave ice concentration at the ice edge observed by ship varies greatly, averaging 14% for the Team algorithm and 19% for the Bootstrap. Comparisons between passive microwave data and SAR, Landsat and OLS data during the ice growth season show that while small-scale details in ice edge location are lost, the passive microwave data generally provide good and consistent representation of the higher resolution imagery. (C) 2004 Elsevier Inc. All rights reserved.</t>
  </si>
  <si>
    <t>Univ Tasmania, Australian Antarctic Div, Hobart, Tas 7001, Australia; Univ Tasmania, Antarctic Climate &amp; Ecosyst Cooperat Res Ctr, Hobart, Tas 7001, Australia; NASA, Goddard Space Flight Ctr, Oceans &amp; Ice Branch, Greenbelt, MD USA</t>
  </si>
  <si>
    <t>University of Tasmania; Australian Antarctic Division; University of Tasmania; Antarctic Climate &amp; Ecosystems Cooperative Research Centre (ACE CRC); National Aeronautics &amp; Space Administration (NASA); NASA Goddard Space Flight Center</t>
  </si>
  <si>
    <t>Univ Tasmania, Australian Antarctic Div, Private Bag 80, Hobart, Tas 7001, Australia.</t>
  </si>
  <si>
    <t>A.Worby@utas.edu.au</t>
  </si>
  <si>
    <t>10.1016/j.rse.2004.05.007</t>
  </si>
  <si>
    <t>842EL</t>
  </si>
  <si>
    <t>WOS:000222985900007</t>
  </si>
  <si>
    <t>Sarmiento, JL; Slater, R; Barber, R; Bopp, L; Doney, SC; Hirst, AC; Kleypas, J; Matear, R; Mikolajewicz, U; Monfray, P; Soldatov, V; Spall, SA; Stouffer, R</t>
  </si>
  <si>
    <t>Response of ocean ecosystems to climate warming</t>
  </si>
  <si>
    <t>GLOBAL BIOGEOCHEMICAL CYCLES</t>
  </si>
  <si>
    <t>climate warming; ocean biogeochemistry</t>
  </si>
  <si>
    <t>GENERAL-CIRCULATION MODEL; SURFACE SOLAR IRRADIANCE; TROPICAL PACIFIC-OCEAN; SOUTHERN-OCEAN; PRIMARY PRODUCTIVITY; CARBON-CYCLE; EQUATORIAL PACIFIC; CHANGE SIMULATIONS; POSITIVE FEEDBACK; EXPORT PRODUCTION</t>
  </si>
  <si>
    <t>[1] We examine six different coupled climate model simulations to determine the ocean biological response to climate warming between the beginning of the industrial revolution and 2050. We use vertical velocity, maximum winter mixed layer depth, and sea ice cover to define six biomes. Climate warming leads to a contraction of the highly productive marginal sea ice biome by 42% in the Northern Hemisphere and 17% in the Southern Hemisphere, and leads to an expansion of the low productivity permanently stratified subtropical gyre biome by 4.0% in the Northern Hemisphere and 9.4% in the Southern Hemisphere. In between these, the subpolar gyre biome expands by 16% in the Northern Hemisphere and 7% in the Southern Hemisphere, and the seasonally stratified subtropical gyre contracts by 11% in both hemispheres. The low-latitude ( mostly coastal) upwelling biome area changes only modestly. Vertical stratification increases, which would be expected to decrease nutrient supply everywhere, but increase the growing season length in high latitudes. We use satellite ocean color and climatological observations to develop an empirical model for predicting chlorophyll from the physical properties of the global warming simulations. Four features stand out in the response to global warming: ( 1) a drop in chlorophyll in the North Pacific due primarily to retreat of the marginal sea ice biome, ( 2) a tendency toward an increase in chlorophyll in the North Atlantic due to a complex combination of factors, ( 3) an increase in chlorophyll in the Southern Ocean due primarily to the retreat of and changes at the northern boundary of the marginal sea ice zone, and ( 4) a tendency toward a decrease in chlorophyll adjacent to the Antarctic continent due primarily to freshening within the marginal sea ice zone. We use three different primary production algorithms to estimate the response of primary production to climate warming based on our estimated chlorophyll concentrations. The three algorithms give a global increase in primary production of 0.7% at the low end to 8.1% at the high end, with very large regional differences. The main cause of both the response to warming and the variation between algorithms is the temperature sensitivity of the primary production algorithms. We also show results for the period between the industrial revolution and 2050 and 2090.</t>
  </si>
  <si>
    <t>Princeton Univ, Atmospher &amp; Ocean Sci Program, Princeton, NJ 08544 USA; Duke Univ, Beaufort, NC 28516 USA; CEA Saclay, CNRS, Unite Mixte Rech, Lab Sci Climat &amp; Environm, F-91191 Gif Sur Yvette, France; Woods Hole Oceanog Inst, Dept Marine Chem &amp; Geochem, Woods Hole, MA 02543 USA; CSIRO Atmospher Res, Aspendale, Vic 3195, Australia</t>
  </si>
  <si>
    <t>Princeton University; National Oceanic Atmospheric Admin (NOAA) - USA; Duke University; Universite Paris Saclay; CEA; Centre National de la Recherche Scientifique (CNRS); Woods Hole Oceanographic Institution; Commonwealth Scientific &amp; Industrial Research Organisation (CSIRO)</t>
  </si>
  <si>
    <t>Princeton Univ, Atmospher &amp; Ocean Sci Program, POB CN710, Princeton, NJ 08544 USA.</t>
  </si>
  <si>
    <t>jls@princeton.edu</t>
  </si>
  <si>
    <t>Soldatov, Vadim/AAG-6794-2022; Doney, Scott/F-9247-2010; Hirst, Anthony/E-2756-2013; Hirst, Anthony/N-1041-2014; Soldatov, Vadim/AFL-6654-2022; MONFRAY, Patrick/AAB-8665-2020; bopp, laurent/ABF-5302-2020; matear, richard/C-5133-2011</t>
  </si>
  <si>
    <t>Soldatov, Vadim/0000-0001-8805-2013; Doney, Scott/0000-0002-3683-2437; Soldatov, Vadim/0000-0001-8805-2013; MONFRAY, Patrick/0000-0002-3028-5591; bopp, laurent/0000-0003-4732-4953; matear, richard/0000-0002-3225-0800</t>
  </si>
  <si>
    <t>0886-6236</t>
  </si>
  <si>
    <t>1944-9224</t>
  </si>
  <si>
    <t>GLOBAL BIOGEOCHEM CY</t>
  </si>
  <si>
    <t>Glob. Biogeochem. Cycle</t>
  </si>
  <si>
    <t>JUL 14</t>
  </si>
  <si>
    <t>GB3003</t>
  </si>
  <si>
    <t>10.1029/2003GB002134</t>
  </si>
  <si>
    <t>Environmental Sciences; Geosciences, Multidisciplinary; Meteorology &amp; Atmospheric Sciences</t>
  </si>
  <si>
    <t>Environmental Sciences &amp; Ecology; Geology; Meteorology &amp; Atmospheric Sciences</t>
  </si>
  <si>
    <t>839PQ</t>
  </si>
  <si>
    <t>WOS:000222797400001</t>
  </si>
  <si>
    <t>Yan, CHM; Chan, KM</t>
  </si>
  <si>
    <t>Cloning of zebrafish metallothionein gene and characterization of its gene promoter region in HepG2 cell line</t>
  </si>
  <si>
    <t>BIOCHIMICA ET BIOPHYSICA ACTA-GENE STRUCTURE AND EXPRESSION</t>
  </si>
  <si>
    <t>heavy metal; gene regulation; electrophoretic mobility assay; transcription factor</t>
  </si>
  <si>
    <t>METAL-RESPONSIVE ELEMENTS; REGULATORY ELEMENTS; TRANSCRIPTION FACTOR; B-GENE; FUNCTIONAL-ANALYSIS; ANTARCTIC FISH; FACTOR MTF-1; ZINC; ACTIVATION; CADMIUM</t>
  </si>
  <si>
    <t>The coding region of cDNA and genomic DNA, with its promoter region, of zebrafish metallothionein (zMT) gene homologous to the piscine MT-II was obtained. The A/T-rich promoter region contains four metal regulatory elements (MREs), three activator protein 1 (AP1) and one specific protein 1 (Sp1) binding sites. The four MREs are organized into two clusters, a distal cluster with one MRE lying around 740 bp upstream of the transcription start point and a proximal cluster with three MREs located close to the TATA box. The metal induction ability of the promoter was assessed by transient luciferase gene expression assays in HepG2 cells. The zMT promoter was inducible by Zn2+, Cd2+, Cu2+, and Hg2+ ions in decreasing inducibility, while inert to Ni2+, Pb2+ and Co2+ ions, and H2O2 treatment in vitro. Deletion of the putative cis-acting elements in the promoter region revealed that the distal MRE (MREd) was important in mediating metal inducibility. Despite the binding of HepG2 cell nuclear protein factors to all MREs as confirmed by electrophoretic mobility shift assay (EMSA), the proximal MREs did not provide significant contribution to metal induction of zMT gene in HepG2 cells. The metal inducibility of zMT promoter required the cooperative effect of at least three MRE sites. (C) 2004 Elsevier B.V. All rights reserved.</t>
  </si>
  <si>
    <t>Chinese Univ Hong Kong, Dept Biochem, Hong Kong, Hong Kong, Peoples R China</t>
  </si>
  <si>
    <t>Chinese University of Hong Kong</t>
  </si>
  <si>
    <t>Chinese Univ Hong Kong, Dept Biochem, Hong Kong, Hong Kong, Peoples R China.</t>
  </si>
  <si>
    <t>kingchan@cuhk.edu.hk</t>
  </si>
  <si>
    <t>yan, ch/JCE-8484-2023</t>
  </si>
  <si>
    <t>Chan, King Ming/0000-0003-4761-7844</t>
  </si>
  <si>
    <t>0167-4781</t>
  </si>
  <si>
    <t>BBA-GENE STRUCT EXPR</t>
  </si>
  <si>
    <t>Biochim. Biophys. Acta-Gene Struct. Expression</t>
  </si>
  <si>
    <t>JUL 13</t>
  </si>
  <si>
    <t>10.1016/j.bbaexp.2004.04.004</t>
  </si>
  <si>
    <t>839XS</t>
  </si>
  <si>
    <t>WOS:000222818900006</t>
  </si>
  <si>
    <t>Uemura, R; Yoshida, N; Kurita, N; Nakawo, M; Watanabe, O</t>
  </si>
  <si>
    <t>An observation-based method for reconstructing ocean surface changes using a 340,000-year deuterium excess record from the Dome Fuji ice core, Antarctica</t>
  </si>
  <si>
    <t>LAST GLACIAL MAXIMUM; SOUTHERN-HEMISPHERE; TEMPERATURE-CHANGES; STABLE ISOTOPES; EAST ANTARCTICA; PRECIPITATION; ORIGIN; SNOW; VARIABILITY; HOLOCENE</t>
  </si>
  <si>
    <t>An extended deuterium excess (d or d-excess) record covering the last three glacial-interglacial cycles (ca. 340,000 years) was obtained from the Dome Fuji ice core, Antarctica. In order to interpret the Antarctic d record as a climatic history of vapor source regions, the record should be corrected for the Antarctic site temperature effect. We propose an observation-based method for correcting the d record. That method uses a regression curve of the observed spatial relationship between deltaD and d in Antarctica on the assumption that the present slope has not changed. Unlike the previously proposed model-based method, our correction method results in considerable change in the d profile of the Dome Fuji ice core. The corrected d record anticorrelates with a mean ocean delta(18)O record (R-2 = 0.74) and correlates with a SST record (R-2 = 0.58) throughout the observed period. These results emphasize the significance of our empirical correction method.</t>
  </si>
  <si>
    <t>Tokyo Inst Technol, Dept Environm Sci &amp; Technol, Interdisciplinary Grad Sch Sci &amp; Engn, Midori Ku, Yokohama, Kanagawa 2268502, Japan; Japan Sci &amp; Technol Corp, SORST Project, Kawaguchi, Japan; Natl Inst Polar Res, Itabashi Ku, Tokyo 1738515, Japan; Res Inst Human &amp; Nat, Kamigyo Ku, Kyoto 6020878, Japan</t>
  </si>
  <si>
    <t>Tokyo Institute of Technology; Japan Science &amp; Technology Agency (JST); Research Organization of Information &amp; Systems (ROIS); National Institute of Polar Research (NIPR) - Japan; Research Institute for Humanity &amp; Nature (RIHN)</t>
  </si>
  <si>
    <t>Uemura, R (corresponding author), Tokyo Inst Technol, Dept Environm Sci &amp; Technol, Interdisciplinary Grad Sch Sci &amp; Engn, Midori Ku, Yokohama, Kanagawa 2268502, Japan.</t>
  </si>
  <si>
    <t>ruemura@depe.titech.ac.jp</t>
  </si>
  <si>
    <t>Kurita, Naoyuki/C-6120-2014; Yoshida, Naohiro/A-8335-2010; Uemura, Ryu/C-9793-2012; Uemura, Ryu/AGR-0677-2022</t>
  </si>
  <si>
    <t>Yoshida, Naohiro/0000-0003-0454-3849; Uemura, Ryu/0000-0002-4236-0085; Uemura, Ryu/0000-0002-4236-0085</t>
  </si>
  <si>
    <t>L13216</t>
  </si>
  <si>
    <t>10.1029/2004GL019954</t>
  </si>
  <si>
    <t>839PJ</t>
  </si>
  <si>
    <t>WOS:000222796700002</t>
  </si>
  <si>
    <t>Eagles, G; Gohl, K; Larter, RD</t>
  </si>
  <si>
    <t>High-resolution animated tectonic reconstruction of the South Pacific and West Antarctic margin</t>
  </si>
  <si>
    <t>plate tectonics; plate reconstructions; Pacific Ocean; Antarctica; marine geology and geophysics : plate tectonics (8150,8155,8157,8158); tectonophysics : plate motions-past (3040); information related to geographic region : Antarctica</t>
  </si>
  <si>
    <t>BELLINGSHAUSEN SEA; SEISMIC-REFLECTION; PLATE KINEMATICS; TRIPLE JUNCTION; FRACTURE-ZONE; GRAVITY-DATA; SW PACIFIC; HISTORY; EVOLUTION; RIDGE</t>
  </si>
  <si>
    <t>An animated reconstruction shows South Pacific plate kinematics between 90 and 45 Ma, using the satellite-derived gravity anomaly field, interpolated isochrons and plate rotation parameters from both published and new work on marine geophysical data. The Great South Basin and Bounty Trough, New Zealand, are shown as the earliest Pacific-Antarctic plate boundary that opened before 83 Ma. The earliest true Pacific-Antarctic seafloor formed within the eastern parts of this boundary, but later and farther west, seafloor formed within its Antarctic flank. After 80 Ma, the Bellingshausen plate converged with an oceanic part of the Antarctic plate to its east, while its motion simultaneously caused rifting in continental Antarctica to the south. The Pacific-Bellingshausen spreading center developed a set of long offset transform faults that the Pacific-Antarctic plate boundary inherited around chron C27 when the Bellingshausen plate ceased to move independently as part of a Pacific-wide plate tectonic reorganization event. Southwest of these transforms the Pacific-Antarctic Ridge saw an increase in transform-fault segmentation by similar to58 Ma. One of the long offset Pacific-Bellingshausen transforms, referred to as V,'' was modified during the C27 reorganization event when a Pacific-Antarctic-Phoenix triple junction initiated on its southern edge. Eastern parts of V'' started to operate in the Pacific-Phoenix spreading system, lengthening it even more, while its western parts operated in the Pacific-Antarctic system. This complicated feature was by-passed and deactivated by ridge axis propagation to its northwest at similar to47 Ma. We interpret our animation to highlight possible connections between these events.</t>
  </si>
  <si>
    <t>Alfred Wegener Inst Polar &amp; Marine Res, D-27515 Bremerhaven, Germany; British Antarctic Survey, Cambridge CB3 0ET, England</t>
  </si>
  <si>
    <t>Helmholtz Association; Alfred Wegener Institute, Helmholtz Centre for Polar &amp; Marine Research; UK Research &amp; Innovation (UKRI); Natural Environment Research Council (NERC); NERC British Antarctic Survey</t>
  </si>
  <si>
    <t>geagles@awi-bremerhaven.de</t>
  </si>
  <si>
    <t>Eagles, Graeme/0000-0001-5325-0810; Gohl, Karsten/0000-0002-9558-2116; Larter, Robert/0000-0002-8414-7389</t>
  </si>
  <si>
    <t>JUL 10</t>
  </si>
  <si>
    <t>Q07002</t>
  </si>
  <si>
    <t>10.1029/2003GC000657</t>
  </si>
  <si>
    <t>837RP</t>
  </si>
  <si>
    <t>WOS:000222653900001</t>
  </si>
  <si>
    <t>Steinberger, B; Sutherland, R; O'Connell, RJ</t>
  </si>
  <si>
    <t>Prediction of Emperor-Hawaii seamount locations from a revised model of global plate motion and mantle flow</t>
  </si>
  <si>
    <t>NEW-ZEALAND REGION; ANTARCTIC PENINSULA; SOUTHWEST PACIFIC; ETHIOPIAN TRAPS; EARTHS MANTLE; FRACTURE-ZONE; TASMAN SEA; PLUMES; RIDGE; CONSTRAINTS</t>
  </si>
  <si>
    <t>The bend in the Hawaiian-Emperor seamount chain is a prominent feature usually attributed to a change in Pacific plate motion similar to47 Myr ago. However, global plate motion reconstructions fail to predict the bend. Here we show how the geometry of the Hawaiian-Emperor chain and other hotspot tracks can be explained when we combine global plate motions with intraplate deformation and movement of hotspot plumes through distortion by global mantle flow. Global mantle flow models predict a southward motion of the Hawaiian hotspot. This, in combination with a plate motion reconstruction connecting Pacific and African plates through Antarctica, predicts the Hawaiian track correctly since the date of the bend, but predicts the chain to be too far west before it. But if a reconstruction through Australia and Lord Howe rise is used instead, the track is predicted correctly back to 65Myr ago, including the bend. The difference between the two predictions indicates the effect of intraplate deformation not yet recognized or else not recorded on the ocean floor. The remaining misfit before 65 Myr ago can be attributed to additional intraplate deformation of similar magnitude.</t>
  </si>
  <si>
    <t>Japan Marine Sci &amp; Technol Ctr, Inst Frontier Res Earth Evolut, Yokosuka, Kanagawa 2370061, Japan; Inst Geol &amp; Nucl Sci, Lower Hutt, New Zealand; Harvard Univ, Dept Earth &amp; Planetary Sci, Cambridge, MA 02138 USA</t>
  </si>
  <si>
    <t>Japan Agency for Marine-Earth Science &amp; Technology (JAMSTEC); GNS Science - New Zealand; Harvard University</t>
  </si>
  <si>
    <t>Steinberger, B (corresponding author), Univ Bayreuth, Bayer Geoinst, POB 101251, D-95440 Bayreuth, Germany.</t>
  </si>
  <si>
    <t>bernhard.steinberger@uni-bayreuth.de</t>
  </si>
  <si>
    <t>Sutherland, Rupert/Y-9290-2019; Steinberger, Bernhard/ABB-9204-2021; Sutherland, Rupert/G-5092-2012; Steinberger, Bernhard/AAG-7148-2019</t>
  </si>
  <si>
    <t>Sutherland, Rupert/0000-0001-7430-0055; Steinberger, Bernhard/0000-0002-3643-3049</t>
  </si>
  <si>
    <t>JUL 8</t>
  </si>
  <si>
    <t>10.1038/nature02660</t>
  </si>
  <si>
    <t>835GL</t>
  </si>
  <si>
    <t>WOS:000222470600034</t>
  </si>
  <si>
    <t>Designs sought for new Antarctic station</t>
  </si>
  <si>
    <t>PROFESSIONAL ENGINEERING</t>
  </si>
  <si>
    <t>PROFESSIONAL ENGINEERING PUBLISHING LTD</t>
  </si>
  <si>
    <t>BURY ST EDMUNDS</t>
  </si>
  <si>
    <t>NORTHGATE AVENUE, BURY ST EDMUNDS IP32 6BW, SUFFOLK, ENGLAND</t>
  </si>
  <si>
    <t>0953-6639</t>
  </si>
  <si>
    <t>PROF ENG</t>
  </si>
  <si>
    <t>Prof. Eng.</t>
  </si>
  <si>
    <t>JUL 7</t>
  </si>
  <si>
    <t>Engineering, Mechanical</t>
  </si>
  <si>
    <t>838EB</t>
  </si>
  <si>
    <t>WOS:000222695200060</t>
  </si>
  <si>
    <t>Luis, AJ; Pandey, PC</t>
  </si>
  <si>
    <t>Seasonal variability of QSCAT-derived wind stress over the Southern Ocean</t>
  </si>
  <si>
    <t>SEA-SURFACE TEMPERATURE; ANTARCTIC CIRCUMPOLAR CURRENT; CIRCULATION</t>
  </si>
  <si>
    <t>Seasonal variability of surface wind stress derived from SeaWINDS onboard the NASA's QuikSCAT satellite is mapped over the latitude range 30degrees-60degreesS in the Southern Ocean for the period from August 1999 to July 2003. Seasonal variability is pronounced on basin-wide scale which dominates the Atlantic-Indian Ocean sector during austral winter. Harmonic analysis reveals that seasonal harmonic captures larger than 60% of the variance on regional scales. The cyclonic wind stress curl induces divergence around Antarctica and facilitates ACC meandering equatorward in the Atlantic-Indian Ocean sector of the Southern Ocean.</t>
  </si>
  <si>
    <t>Natl Ctr Antarctic &amp; Ocean Res, Polar Remote Sensing Div, Vasco Da Gama 403804, Goa, India</t>
  </si>
  <si>
    <t>Luis, AJ (corresponding author), Natl Ctr Antarctic &amp; Ocean Res, Polar Remote Sensing Div, Vasco Da Gama 403804, Goa, India.</t>
  </si>
  <si>
    <t>alvluis@yahoo.com</t>
  </si>
  <si>
    <t>Luis, Dr Alvarinho J./0000-0002-3425-8048</t>
  </si>
  <si>
    <t>JUL 2</t>
  </si>
  <si>
    <t>L13304</t>
  </si>
  <si>
    <t>10.1029/2003GL019355</t>
  </si>
  <si>
    <t>839JI</t>
  </si>
  <si>
    <t>WOS:000222779700001</t>
  </si>
  <si>
    <t>Tafforin, C</t>
  </si>
  <si>
    <t>Ethological analysis of a polar team in the French Antarctic station Dumont d'Urville as simulation of space teams for future interplanetary missions</t>
  </si>
  <si>
    <t>ACTA ASTRONAUTICA</t>
  </si>
  <si>
    <t>interpersonal relationships; isolation effects; social group; human; behavior; Antarctic; space mission</t>
  </si>
  <si>
    <t>FLIGHT CONDITIONS; BEHAVIOR; WINTER; PERFORMANCE; ADAPTATION; ASTRONAUT; ANALOG</t>
  </si>
  <si>
    <t>This new ethological study focuses on the co-adaptation of the crew's spatial behavior to social isolation in a polar base thus simulating long-term living and working of a space team. The method consisted in drawing the subjects' position (n = 13) on an observation map at the midday and evening meals at the Dumont d'Urville french station in Antarctica, daily during the summer campaigns and weekly during the winter-over of the TA46 mission. Quantitative data are presented in geocentric (positions), allocentric (distances) and egocentric (orientations) analyses with an emphasis on three adaptative periods (first 3 months, intermediary 2 months and last 3 months of isolation). Results show a large space occupancy during the first week after arrival and the last week before departure from the polar base, and a team-members' grouping during the winter-over. On the over-all time, the inter-individual distances increase. The social orientations are higher at the beginning than at the end of the mission. Discussion underlies the pertinent use of such ethological indicators collected from polar stations as predictors of well-being and optimal-working of the future orbital and planetary stations users. (C) 2003 Elsevier Ltd. All rights reserved.</t>
  </si>
  <si>
    <t>ETHOSPACE, F-31000 Toulouse, France</t>
  </si>
  <si>
    <t>ETHOSPACE, 13 Rue Alsace Lorraine, F-31000 Toulouse, France.</t>
  </si>
  <si>
    <t>ethospace@wanadoo.fr</t>
  </si>
  <si>
    <t>0094-5765</t>
  </si>
  <si>
    <t>1879-2030</t>
  </si>
  <si>
    <t>ACTA ASTRONAUT</t>
  </si>
  <si>
    <t>Acta Astronaut.</t>
  </si>
  <si>
    <t>JUL</t>
  </si>
  <si>
    <t>10.1016/j.actaastro.2003.12.015</t>
  </si>
  <si>
    <t>Engineering, Aerospace</t>
  </si>
  <si>
    <t>817VG</t>
  </si>
  <si>
    <t>WOS:000221204400006</t>
  </si>
  <si>
    <t>Jarman, SN</t>
  </si>
  <si>
    <t>Amplicon: software for designing PCR primers on aligned DNA sequences</t>
  </si>
  <si>
    <t>BIOINFORMATICS</t>
  </si>
  <si>
    <t>Amplicon is a program for designing PCR primers on aligned groups of DNA sequences. The most important application for Amplicon is the design of 'group-specific' PCR primer sets that amplify a DNA region from a given taxonomic group but do not amplify orthologous regions from other taxonomic groups.</t>
  </si>
  <si>
    <t>1367-4803</t>
  </si>
  <si>
    <t>1460-2059</t>
  </si>
  <si>
    <t>Bioinformatics</t>
  </si>
  <si>
    <t>JUL 1</t>
  </si>
  <si>
    <t>10.1093/bioinformatics/bth121</t>
  </si>
  <si>
    <t>Biochemical Research Methods; Biotechnology &amp; Applied Microbiology; Computer Science, Interdisciplinary Applications; Mathematical &amp; Computational Biology; Statistics &amp; Probability</t>
  </si>
  <si>
    <t>Biochemistry &amp; Molecular Biology; Biotechnology &amp; Applied Microbiology; Computer Science; Mathematical &amp; Computational Biology; Mathematics</t>
  </si>
  <si>
    <t>834HO</t>
  </si>
  <si>
    <t>WOS:000222402400026</t>
  </si>
  <si>
    <t>Staniland, IJ; Pond, D</t>
  </si>
  <si>
    <t>Variability in milk fatty acids: recreating a foraging trip to test dietary predictions in Antarctic fur seals</t>
  </si>
  <si>
    <t>CANADIAN JOURNAL OF ZOOLOGY</t>
  </si>
  <si>
    <t>SOUTHERN ELEPHANT SEALS; APTENODYTES-PATAGONICUS; ARCTOCEPHALUS-GAZELLA; BLUBBER; GEORGIA; SIGNATURES; PENGUINS; ECOLOGY; SHIFTS; LIPIDS</t>
  </si>
  <si>
    <t>Using Antarctic fur seals (Arctocephalus gazella (Peters, 1875)) in a feeding trial, we investigated the use of milk fatty acids to determine diet. In a regime designed to replicate an average foraging trip, six female seals were fed on four successive days meals of krill (Euphausia superba Dana, 1850; day 1), mixed krill and icefish (Champsocephalus gunnari Lonnberg, 1905; day 2), and icefish (days 3 and 4). Four milk samples were collected from each female, one every 12 h from the time of the last feed. Fatty acid profiles of samples were analysed using canonical discriminant analysis and classification trees. Milk fatty acids could be used to distinguish between seals fed the experimental diet, which was high in fish, and those feeding naturally, thought to be consuming mostly krill. However, there was significant variation between individual seals, which may have been the influence of feeding prior to the experiment. Milk fatty acids remained relatively unchanged over time, suggesting that the influence of dietary fatty acids was averaged over the suckling period. We conclude that, whilst this technique has potential in studying the diet of higher predators, further work is needed to test the underlying assumptions and mechanisms involved in the transfer of fatty acids from the diet into milk.</t>
  </si>
  <si>
    <t>ijst@bas.ac.uk</t>
  </si>
  <si>
    <t>Staniland, Iain/I-4725-2012</t>
  </si>
  <si>
    <t>Staniland, Iain/0000-0003-2736-9134</t>
  </si>
  <si>
    <t>CANADIAN SCIENCE PUBLISHING, NRC RESEARCH PRESS</t>
  </si>
  <si>
    <t>65 AURIGA DR, SUITE 203, OTTAWA, ON K2E 7W6, CANADA</t>
  </si>
  <si>
    <t>1480-3283</t>
  </si>
  <si>
    <t>Can. J. Zool.</t>
  </si>
  <si>
    <t>10.1139/Z04-088</t>
  </si>
  <si>
    <t>865MB</t>
  </si>
  <si>
    <t>WOS:000224706100012</t>
  </si>
  <si>
    <t>Rosen, DAS; Trites, AW</t>
  </si>
  <si>
    <t>Satiation and compensation for short-term changes in food quality and availability in young Steller sea lions (Eumetopias jubatus)</t>
  </si>
  <si>
    <t>ANTARCTIC FUR SEALS; MICROTUS-OCHROGASTER; SEASONAL-CHANGES; DIET QUALITY; PRAIRIE VOLE; PREY AVAILABILITY; PHOCA-VITULINA; ENERGY DENSITY; FORAGE FISHES; BODY-WEIGHT</t>
  </si>
  <si>
    <t>Foraging theory predicts that animals should proportionately increase their food intake to compensate for reduced food energy content and (or) prey availability. However, the theoretical intake levels will, at some point, exceed the digestive capacity of the predator. We tested the ability of Steller sea lions, Eumetopias jubatus (Schreber, 1776), to compensate for short-term changes in prey energy density and availability, and quantified the maximum amount of food a young sea lion could consume. Five 1-2-year-old captive Steller sea lions were offered either herring (high energy) or capelin (low energy) each day or every second day. When prey were available on a daily basis, the sea lions compensated for differences in the energy content of herring and capelin by consuming sufficient quantities of each (8.3 vs. 14.0 kg.d(-1), respectively) to maintain equivalent gross energy intakes. When herring was available only on alternate days, the sea lions increased their consumption by 52% to 11.5 kg.d(-1), which was not sufficient to maintain an average gross intake equal to that maintained when herring was available every day. When capelin was available only on alternate days, some animals increased their intake for a few days, but average intake (15.2 kg.d(-1)) was far below levels observed during daily feeding. Generally, the sea lions appeared to reach their digestive limit at a level equivalent to 14%-16% of their body mass. Our findings suggest that Steller sea lions can alter their food intake in response to short-term changes in prey quality or availability, but that these variables can quickly combine to necessitate food intake levels that exceed the physiological digestive capacities of young animals.</t>
  </si>
  <si>
    <t>Univ British Columbia, Marine Mammal Res Unit, Vancouver, BC V6T 1Z4, Canada</t>
  </si>
  <si>
    <t>University of British Columbia</t>
  </si>
  <si>
    <t>Rosen, DAS (corresponding author), Univ British Columbia, Marine Mammal Res Unit, 6248 Biol Sci Rd, Vancouver, BC V6T 1Z4, Canada.</t>
  </si>
  <si>
    <t>rosen@zoology.ubc.ca</t>
  </si>
  <si>
    <t>Trites, Andrew/K-5648-2012</t>
  </si>
  <si>
    <t>10.1139/Z04-082</t>
  </si>
  <si>
    <t>WOS:000224706100008</t>
  </si>
  <si>
    <t>Bowman, JP</t>
  </si>
  <si>
    <t>Psychrophilic prokaryote structural-functional relationships, biogeography and evolution within marine sediment</t>
  </si>
  <si>
    <t>CELLULAR AND MOLECULAR BIOLOGY</t>
  </si>
  <si>
    <t>psychrophilic; marine sediment; polar ecosystems; diversity; biogeography; evolution</t>
  </si>
  <si>
    <t>ANTARCTIC COASTAL ENVIRONMENT; ANAEROBIC AMMONIUM OXIDATION; SULFATE-REDUCING BACTERIA; COMMUNITY STRUCTURE; MICROBIAL DIVERSITY; SEA-ICE; MOLECULAR CHARACTERIZATION; MEROMICTIC LAKES; ORGANIC-MATTER; VESTFOLD HILLS</t>
  </si>
  <si>
    <t>Prokaryote diversity has been found to be surprisingly high in cold marine sediments with numerous clades detected spread throughout many phyla. Marine benthic sediment clades are largely ecotypically distinct and autochthonous. Since almost all marine sediment prokaryotic taxa have yet to be cultivated, functionality is currently overwhelmingly cryptic for most benthic prokaryotic taxa except those falling into specific lineages for which there is cultivation or detailed biogeochemical data. Multivariate statistical comparisons of 16S rRNA gene sequence and denaturing gradient gel electrophoresis (DGGE) data show distinct distribution patterns of prokaryotic communities in sediment layers. By comparison geographical differences and differences related to the physical texture and organic content seem to result in generally smaller differences.</t>
  </si>
  <si>
    <t>Univ Tasmania, Australian food Safety Ctr Excellence, Hobart, Tas 7001, Australia</t>
  </si>
  <si>
    <t>Univ Tasmania, Australian food Safety Ctr Excellence, Private Bag 54, Hobart, Tas 7001, Australia.</t>
  </si>
  <si>
    <t>john.bowman@utas.edu.au</t>
  </si>
  <si>
    <t>Bowman, John P./ABF-5108-2020; Bowman, John P/C-2414-2014</t>
  </si>
  <si>
    <t>Bowman, John P./0000-0002-4528-9333; Bowman, John P/0000-0002-4528-9333</t>
  </si>
  <si>
    <t>C M B ASSOC</t>
  </si>
  <si>
    <t>POITIERS</t>
  </si>
  <si>
    <t>34 BOULEVARD SOLFERINO, 86000 POITIERS, FRANCE</t>
  </si>
  <si>
    <t>0145-5680</t>
  </si>
  <si>
    <t>1165-158X</t>
  </si>
  <si>
    <t>CELL MOL BIOL</t>
  </si>
  <si>
    <t>Cell. Mol. Biol.</t>
  </si>
  <si>
    <t>Biochemistry &amp; Molecular Biology; Cell Biology</t>
  </si>
  <si>
    <t>870EP</t>
  </si>
  <si>
    <t>WOS:000225037100002</t>
  </si>
  <si>
    <t>Stackebrandt, E; Brambilla, E; Cousin, S; Dirks, W; Pukall, R</t>
  </si>
  <si>
    <t>Culture-independent analysis of bacterial species from an anaerobic mat from Lake Fryxell, Antarctica: Prokaryotic diversity revisited</t>
  </si>
  <si>
    <t>Lake Fryxell; Antarctica; prokaryotic diversity; DNA extraction; uncultured organisms; clone library</t>
  </si>
  <si>
    <t>MCMURDO DRY VALLEYS; 16S RIBOSOMAL-RNA; SP-NOV.; MICROBIAL MATS; PSYCHROPHILIC BACTERIA; GEN. NOV.; SP. NOV.; ICE; SEA; MICROORGANISMS</t>
  </si>
  <si>
    <t>Using a lake sediment mat sample from Lake Fryxell, Antarctica, different DNA extraction and purification methods were compared by denaturing gradient gel electrophoresis (DGGE). Based on die analyses of cloned 16S rRNA gene sequences a high degree of as yet uncultured prokaryotes have been reported in this sample. Although the vast majority of these as yet uncultured organisms seem to be classified as representatives of Firmicutes, Proteobacteria and Bacteriodetes, many of these taxa should be regarded novel species as judged from the distance of their gene sequences to those of their nearest cultured phylogenetic neighbours. The physiological properties of cultured strains from Lake Fryxell and of those of described species that are phylogenetically affiliated to the as yet uncultured species from this environment, suggest the presence of a well developed food web of primary producers, anaerobic degraders and fermenters, and aerobes. The few novel species described from this sample add to the increasing number of species characterized from various Antarctic habitats. Determination of the phylogenetic relatedness of the mat clone sequences of Clostridia with recent entries into public databases revealed that many of the putative species are closely related to other putative species detected in a broad range of environments, ranging from rumen and gut, anaerobic and polluted soil to sediment and groundwater samples.</t>
  </si>
  <si>
    <t>German Collect Microorganisms &amp; Cell Cultures Gmb, DSMZ, D-38124 Braunschweig, Germany; Univ Ghent, Ctr Mol Phylogeny &amp; Evolut, B-9000 Ghent, Belgium</t>
  </si>
  <si>
    <t>Leibniz Institut fur Deutsche Sammlung von Mikroorganismen und Zellkulturen (DSMZ); Ghent University</t>
  </si>
  <si>
    <t>German Collect Microorganisms &amp; Cell Cultures Gmb, DSMZ, Mascheroder Weg 1B, D-38124 Braunschweig, Germany.</t>
  </si>
  <si>
    <t>erko@dsmz.de</t>
  </si>
  <si>
    <t>Stackebrandt, Erko/0000-0002-6130-760X; Dirks, Wilhelm/0000-0001-9781-0998</t>
  </si>
  <si>
    <t>WOS:000225037100003</t>
  </si>
  <si>
    <t>Shivaji, S; Reddy, GSN; Aduri, RP; Kutty, R; Ravenschlag, K</t>
  </si>
  <si>
    <t>Bacterial diversity of a soil sample from Schirmacher Oasis, Antarctica</t>
  </si>
  <si>
    <t>16S rRNA gene; clones diversity; Antarctica; psychrophiles</t>
  </si>
  <si>
    <t>16S RIBOSOMAL-RNA; CYANOBACTERIAL MAT SAMPLE; MCMURDO DRY VALLEYS; SP-NOV.; PSYCHROPHILIC BACTERIUM; MICROBIAL DIVERSITY; COMMUNITY STRUCTURE; GENE CLONING; RAPID METHOD; LAKE VOSTOK</t>
  </si>
  <si>
    <t>The bacterial diversity of a soil sample collected in the vicinity of Lake Zub, Schirmacher Oasis, Antarctica, was determined both by establishing pure colonies of culturable bacteria and by cloning the total 16S rDNA of the soil and establishing the phylogeny of the clones. Analysis of the 16S rRNA gene clones indicated that the bacteria belonged to the classes alpha-proteobacteria, beta-proteobacteria, gamma-proteobacteria, Gemmatimonas, Bacteriodetes, Actinobacteria, Chloroflexi and Chlamydiae. In addition, seven clones were categorized as unidentified and unculturable in the classes of beta-Proteobacteria, Actinobacteria, Chloroflexi and Chlamydiae. Further, the culturable bacteria from the same site were identified as belonging to the genera. Pseudomonas, Sphingobacterium, Arthrobacter, Micrococcus, Brevondimonas, Rhodococcus and Microbacterium. These results identify for the first time the presence of bacteria belonging to the genera Brevundimonas, Microbacterium, Rhodococcus, Serratia, Enterobacter, Rhodopseudomonas, Sphingomonas, Acidovorax, Burkholderia, Nevskia, Gemmatimonas, Xanthomonas and Flexibacter in Antarctica. Further, comparison of the Antarctic soil bacterial diversity with other cold habitats of Antarctica like from sediments, ice and cyanobacterial mat samples indicated that the bacterial diversity in soil was similar to the diversity observed in the continental shelf sediment sample. The Antarctic soil clones also resembled the bacterial diversity of soils from other geographical regions, but were unique in that none of the clones from the soil belonged to the uncultured Y, O, G, A and B groups (24) common to all soil samples.</t>
  </si>
  <si>
    <t>Ctr Cellular &amp; Mol Biol, Hyderabad 500007, Andhra Pradesh, India; Max Planck Inst Marine Microbiol, D-28359 Bremen, Germany</t>
  </si>
  <si>
    <t>Council of Scientific &amp; Industrial Research (CSIR) - India; CSIR - Centre for Cellular &amp; Molecular Biology (CCMB); Max Planck Society</t>
  </si>
  <si>
    <t>Shivaji, S (corresponding author), Ctr Cellular &amp; Mol Biol, Uppal Rd, Hyderabad 500007, Andhra Pradesh, India.</t>
  </si>
  <si>
    <t>shivas@ccmb.res.in</t>
  </si>
  <si>
    <t>Aduri, Raviprasad/0000-0001-9627-4986; shivaji, sisinthy/0000-0003-0376-4658</t>
  </si>
  <si>
    <t>CELLULAR &amp; MOLECULAR BIOLOGY</t>
  </si>
  <si>
    <t>NOISY-LE-GRAND</t>
  </si>
  <si>
    <t>PROF R WEGMANN RESIDENCE HAUSSMANN 1 AVENUE DU PAVE NEUF, 93160 NOISY-LE-GRAND, FRANCE</t>
  </si>
  <si>
    <t>WOS:000225037100004</t>
  </si>
  <si>
    <t>Hughes, KA; McCartney, HA; Lachlan-Cope, TA; Pearce, DA</t>
  </si>
  <si>
    <t>A preliminary study of airborne microbial biodiversity over peninsular Antarctica</t>
  </si>
  <si>
    <t>Antarctica; airborne; biodiversity; microorganisms; colonisation; propagules; winds; DGGE; 16S rDNA</t>
  </si>
  <si>
    <t>POLYMERASE-CHAIN-REACTION; AERIAL DISPERSAL; CLIMATE-CHANGE; FUNGAL SPORES; SP NOV.; PCR; AIR; MICROORGANISMS; SPHINGOMONAS; INDICATORS</t>
  </si>
  <si>
    <t>This study used PCR-based molecular biological identification techniques to examine the biodiversity of air sampled over Rothera Point (Antarctic Peninsula). 16S rDNA fragments of 132 clones were sequenced and identified to reveal a range of microorganisms, including cyanobacteria, actinomycetes, diatom plastids and other uncultivated bacterial groups. Matches for microorganisms that would be considered evidence of human contamination were not found. The closest matches for many of the sequences were from Antarctic clones already in the databases or from other cold environments. Whilst the majority of the sequences are likely to be of local origin, back trajectory calculations showed that the sampled air may have travelled over the Antarctic Peninsula immediately prior to reaching the sample site. As a result, a proportion of the detected biota may be of non-local origin. Conventional identification methods based on propagule morphology or culture are often inadequate due to poor preservation of characteristic features or loss of viability during airborne transfer. The application of molecular biological techniques in describing airborne microbial biodiversity represents a major step forward in the study of airborne biota over Antarctica and in the distribution of microorganisms and propagules in the natural environment.</t>
  </si>
  <si>
    <t>British Antarctic Survey, Nat Environm Res Council, Cambridge CB3 0ET, England; Rothamsted Res, Plant Pathogens Interact Div, Harpenden AL5 2JQ, Herts, England</t>
  </si>
  <si>
    <t>UK Research &amp; Innovation (UKRI); Natural Environment Research Council (NERC); NERC British Antarctic Survey; UK Research &amp; Innovation (UKRI); Biotechnology and Biological Sciences Research Council (BBSRC); Rothamsted Research</t>
  </si>
  <si>
    <t>Hughes, KA (corresponding author), British Antarctic Survey, Nat Environm Res Council, High Cross,Madingley Rd, Cambridge CB3 0ET, England.</t>
  </si>
  <si>
    <t>Pearce, David/0000-0001-5292-4596</t>
  </si>
  <si>
    <t>WOS:000225037100005</t>
  </si>
  <si>
    <t>Delille, D</t>
  </si>
  <si>
    <t>Abundance and function of bacteria in the Southern Ocean</t>
  </si>
  <si>
    <t>seasonal changes; spatial distribution; bacterioplankton; microbial loop; temperature; the Southern Ocean</t>
  </si>
  <si>
    <t>ICE MICROBIAL COMMUNITIES; DISSOLVED ORGANIC-MATTER; POLAR FRONTAL ZONE; SEA-ICE; SEASONAL-CHANGES; PHYTOPLANKTON BIOMASS; SPATIAL-DISTRIBUTION; WEDDELL SEA; BACTERIOPLANKTON PRODUCTION; INTERANNUAL VARIABILITY</t>
  </si>
  <si>
    <t>The very low water temperatures existing in polar oceans that experience seasonal advance and retreat of pack ice do not inhibit the presence of large bacterial populations. Bacteria may contribute significantly to the energy transfers within the Southern Ocean. In the last decades, notable progress has been made in the knowledge of the role of marine bacteria in the Southern Ocean. A short overview of the abundance and function of Antarctic marine bacteria is given, with respect to metabolic activity. The importance of spatial and temporal variability is described. The ecological function of Antarctic marine bacterioplankton is discussed. Depending on food web structure, bacteria may be either a link in food webs supporting metazoan production, or a sink where bacterial production is metabolised by microorganisms. In the more oligotrophic areas and during certain periods of the year bacterial biomass dominates phytoplankton. The microbial food web is therefore the dominant pathway for carbon and energy flow in Antarctic seawater.</t>
  </si>
  <si>
    <t>Univ Paris 06, Observat Oceanol Banyuls, UMR 7621, CNRS,Lab Arago, F-66650 Banyuls sur Mer, France</t>
  </si>
  <si>
    <t>Centre National de la Recherche Scientifique (CNRS); CNRS - National Institute for Earth Sciences &amp; Astronomy (INSU); Sorbonne Universite</t>
  </si>
  <si>
    <t>Univ Paris 06, Observat Oceanol Banyuls, UMR 7621, CNRS,Lab Arago, F-66650 Banyuls sur Mer, France.</t>
  </si>
  <si>
    <t>Daniel, Delille/S-9542-2019</t>
  </si>
  <si>
    <t>WOS:000225037100006</t>
  </si>
  <si>
    <t>Helmke, E; Weyland, H</t>
  </si>
  <si>
    <t>Psychrophilic versus psychrotolerant bacteria -: Occurrence and significance in polar and temperate marine habitats</t>
  </si>
  <si>
    <t>bacteria; cold adaptation; psychrophilic; sea ice; bottom sediments; Southern Ocean; Artic Ocean; German Bight</t>
  </si>
  <si>
    <t>SEA-ICE; SP-NOV; SEDIMENT BACTERIA; WEDDELL SEA; GEN-NOV; DIVERSITY; COLD; COMMUNITIES; GROWTH</t>
  </si>
  <si>
    <t>The numerical dominance and ecological role of psychrophilic bacteria in bottom sediments, sea ice, surface water and melt pools of the polar oceans were investigated using isolates, colony forming units (CFU) and metabolic activities. All sediment samples of the Southern Ocean studied showed a clear numerical dominance of cold-loving bacteria. In Arctic sediments underlying the influence of cold polar water bodies psychrophiles prevailed also but they were less dominant in sediments influenced by the warm Atlantic Water. A predominance of psychrophiles was further found in consolidated Antarctic sea ice as well as in multiyear Arctic sea ice and in melt pools on top of Arctic ice floes. A less uniform adaptation response was, however, met in polar surface waters. In the very northern part of the Fram Strait (Arctic Ocean) we found bacterial counts and activities at 1 degreesC exceeding those at 22 degreesC. In surface water of the Weddell Sea (Southern Ocean) psychrophiles also dominated numerically in early autumn but the dominance declined obviously with the onset of winter-water and a decrease of chlorphyll a. Otherwise in surface water of the Southern Ocean CFUs were higher at 22 degreesC than at 1 degreesC while activities were vice versa indicating at least a functional dominance of psychrophiles. Even in the temperate sediments of the German Bight true psychrophiles were present and a clear shift towards cold adapted communities in winter observed. Among the polar bacteria a more pronounced cold adaptation of Antarctic in comparison with Arctic isolates was obtained. The results and literature data indicate that stenothermic cold adapted bacteria play a significant role in the global marine environment. On the basis of the temperature response of our isolates from different habitats it is suggested to expand the definition of Morita in order to meet the cold adaptation strategies of the bacteria in the various cold habitats.</t>
  </si>
  <si>
    <t>Helmke, E (corresponding author), Alfred Wegener Inst Polar &amp; Marine Res, Handelshafen 12, D-27570 Bremerhaven, Germany.</t>
  </si>
  <si>
    <t>ehelmke@awi-bremerhaven.de</t>
  </si>
  <si>
    <t>WOS:000225037100007</t>
  </si>
  <si>
    <t>Pandey, KD; Shukla, SP; Shukla, PN; Giri, DD; Singh, JS; Singh, P; Kashyap, AK</t>
  </si>
  <si>
    <t>Cyanobacteria in Antarctica: Ecology, physiology and cold adaptation</t>
  </si>
  <si>
    <t>Antarctic cyanobacteria; ecology; physiology; temperature gradient; cold adaptation</t>
  </si>
  <si>
    <t>NITROGEN-FIXATION; SCHIRMACHER-OASIS; AMMONIUM TRANSPORT; NOSTOC-COMMUNE; LAKE BONNEY; ICE COVER; TEMPERATURE; ALGAL; ECOSYSTEMS; STREAMS</t>
  </si>
  <si>
    <t>Cyanobacterial species composition of fresh water and terrestrial ecosystems and chemical environment of water in Schirmacher Oasis in Continental Antarctica was investigated. Over 35 species of cyanobacteria were recorded. Diazotrophic species both heterocystous and unicellular contributed more than half to the count except in lake ecosystem. The species composition varied among the fresh water as well as terrestrial ecosystems. The physico-chemical analyses of water revealed its poor nurient content which might have supported the growth of diazotrophic cyanobacteria in an Antarctic environment. Among the cyanobacteria Oscillatoria, Phormidium and Nostoc commune were the dominant flora in most of the habitats. The physiological characteristics of isolated cyanobacteria strains indicated that N-2-fixation, nitrate uptake, nitrate-reduction, ammonium-uptake, GS-transferase activity and photosynthesis was unaffected at low temperature (5 degreesC) which indicated low temperature adaptation for Antarctic cyanobacteria. This phenomenon was not evident in different strains of tropical origin. The temperature optima for N-2-fixation for the different Antarctic cyanobacterial strains was in the range of 15-25 degreesC, nearly 10 degreesC lower than their respective reference strains of tropical origin. Similar results were obtained for cyanobacteria-moss association. The low endergonic activation energy exhibited by the above metabolic activities supported the view that cyanobacteria were adapted to Antarctic ecosystem.</t>
  </si>
  <si>
    <t>Banaras Hindu Univ, Ctr Adv Study Bot, Varanasi 221005, Uttar Pradesh, India</t>
  </si>
  <si>
    <t>Banaras Hindu Univ, Ctr Adv Study Bot, Varanasi 221005, Uttar Pradesh, India.</t>
  </si>
  <si>
    <t>kashyap@hanaras.ernet.in</t>
  </si>
  <si>
    <t>Singh, Jay Shankar/T-4875-2019</t>
  </si>
  <si>
    <t>Singh, Jay Shankar/0000-0002-5752-9349</t>
  </si>
  <si>
    <t>WOS:000225037100009</t>
  </si>
  <si>
    <t>Geoffroy, VA; Meyer, JM</t>
  </si>
  <si>
    <t>Siderotyping of antarctic fluorescent Pseudomonas strains</t>
  </si>
  <si>
    <t>fluorescent Pseudomonas; iron metabolism; siderophore; pyoverdine; siderotyping; siderovar; taxonomy; biodiversity; Antarctica</t>
  </si>
  <si>
    <t>NATURAL MINERAL WATERS; MEDIATED IRON UPTAKE; BACTERIAL CONSTITUENTS; SIDEROPHORES; PYOVERDIN; PROPOSAL; IDENTIFICATION; NOV.</t>
  </si>
  <si>
    <t>Five fluorescent Pseudomonas strains isolated from Antarctica have been previously recognized as producing three structurally different pyoverdines. In the present work, siderotyping procedures have been used to classify these strains, together with 1,282 isolates of different origins, into siderovars. The strain biodiversity encountered within each siderovar, as well as the potential taxonomic value of the siderovars, are described and discussed. It is concluded that a majority of antarctic strains are commonly distributed worldwide. One strain, however, presenting a particular pyoverdine structure found in a unique other isolate, was apparently much more specific to cold environment.</t>
  </si>
  <si>
    <t>Univ Strasbourg, CNRS, Lab Microbiol &amp; Genet, FRE 2326, F-67083 Strasbourg, France</t>
  </si>
  <si>
    <t>Universites de Strasbourg Etablissements Associes; Universite de Strasbourg; Centre National de la Recherche Scientifique (CNRS)</t>
  </si>
  <si>
    <t>Geoffroy, VA (corresponding author), Univ Strasbourg, CNRS, Lab Microbiol &amp; Genet, FRE 2326, 28 Rue Goethe, F-67083 Strasbourg, France.</t>
  </si>
  <si>
    <t>meyer@gem.u-strasbg.fr</t>
  </si>
  <si>
    <t>WOS:000225037100010</t>
  </si>
  <si>
    <t>Riva, SD; Abelmoschi, ML; Magi, E; Soggia, F</t>
  </si>
  <si>
    <t>The utilization of the antarctic environmental specimen bank (BCAA) in monitoring Cd and Hg in an antarctic coastal area in Terra Nova Bay (Ross Sea-Northern Victoria Land)</t>
  </si>
  <si>
    <t>antarctica; cadmium; mercury; biomonitors; antarctic environmental specimen bank</t>
  </si>
  <si>
    <t>MERCURY; FISH; ECOSYSTEMS; BERNACCHII; METALS; ALGAE; ICE</t>
  </si>
  <si>
    <t>The first projects relating to levels of Cd and Hg on marine biota and sediments from Terra Nova Bay (Ross Sea-Antarctica) and their bioaccumulation and biomagnification in this trophic web have been carried out by research programmes pertaining to the Italian Antarctic Research Program (PNRA) since 1989. Making use of this data, and checking the same metals after 10 years thanks to the samples stored in the BCAA, we have looked for the levels of Cd and Hg in a coastal marine ecosystem of Terra Nova Bay, and have proposed using some organisms to monitor the levels of these two heavy metals in this environment where the Italian Base is located, using the data determinate in this work as background levels. In our work, the amount of Hg and Cd concentrations have been determined in biota from the inner shelf of Terra Nova Bay (Adamussium colbecki, Laternula elliptica, Odontaster validus, Sterechinus neumayeri, Trematomus bernacchii, Iridaea cordata, Phyllophora antarctica, Parborlasia corrugatus), and in two different size fractions of sieved marine sediments (&lt;2000 pm and &lt;63 mum). To widen the distribution of Cd and Hg in this ecosystem we have also investigated the fraction of these metals bound to the labile phase of the marine sediments, and their presence in the particulate matter found in pack-ice cores, recent snow, water column and sea microlayer. (C) 2004 Elsevier Ltd. All rights reserved.</t>
  </si>
  <si>
    <t>Univ Genoa, Dept Chem &amp; Ind Chem, I-16146 Genoa, Italy</t>
  </si>
  <si>
    <t>Univ Genoa, Dept Chem &amp; Ind Chem, Via Dodecaneso 31, I-16146 Genoa, Italy.</t>
  </si>
  <si>
    <t>soggia@chimica.unige.it</t>
  </si>
  <si>
    <t>Magi, Emanuele/C-9564-2011</t>
  </si>
  <si>
    <t>10.1016/j.chemosphere.2003.12.026</t>
  </si>
  <si>
    <t>825AF</t>
  </si>
  <si>
    <t>WOS:000221727700008</t>
  </si>
  <si>
    <t>Jiang, DB; Wang, HJ; Lang, XM</t>
  </si>
  <si>
    <t>East Asian climate change trend under global warming background</t>
  </si>
  <si>
    <t>CHINESE JOURNAL OF GEOPHYSICS-CHINESE EDITION</t>
  </si>
  <si>
    <t>Chinese</t>
  </si>
  <si>
    <t>greenhouse gases; global wanning; east Asian climate</t>
  </si>
  <si>
    <t>MODEL; SIMULATIONS; CHINA</t>
  </si>
  <si>
    <t>Using the numerical experiment outputs as simulated by seven climate models under SRES A2 and B2 greenhouse gas scenarios, the East Asian climate change trend in the 21st century is analyzed. It follows that surface air temperature warming in China synchronizes with the global average case: generally. However, the warming amplitude in northeastern, western, and central China is stronger and exhibits larger inter-annual variation. It is shown that the warming magnitude of global annual mean surface air temperature in the 21st century distributes band shape along with latitudes and gradually enlarges toward high latitudes, with the maxima at the Arctic and Antarctic, especially for the former. In addition, the simulated strong warming at northern high latitudes in the second half of the 21st century is mainly due to winter warming. In the first half of the 21st century, the increase of atmospheric greenhouse gas concentration will significantly enhance summer precipitation over the Qinghai-Xizang Plateau and, however, has slight influence on the other regional annual or seasonal precipitation in China. Nevertheless, both annual and seasonal precipitation will increase notablely in China in the second half of the 21st century.</t>
  </si>
  <si>
    <t>Chinese Acad Sci, Inst Atmospher Phys, Nansen Zhu Int Res Ctr, Beijing 100029, Peoples R China; Chinese Acad Sci, Key Lab Reg Climate Environm Res Temperate E Asia, Beijing 100029, Peoples R China</t>
  </si>
  <si>
    <t>Chinese Academy of Sciences; Institute of Atmospheric Physics, CAS; Chinese Academy of Sciences</t>
  </si>
  <si>
    <t>Chinese Acad Sci, Inst Atmospher Phys, Nansen Zhu Int Res Ctr, Beijing 100029, Peoples R China.</t>
  </si>
  <si>
    <t>jiangdb@mail.iap.ac.cn</t>
  </si>
  <si>
    <t>Jiang, Dabang/I-2243-2014</t>
  </si>
  <si>
    <t>SCIENCE PRESS</t>
  </si>
  <si>
    <t>0001-5733</t>
  </si>
  <si>
    <t>CHINESE J GEOPHYS-CH</t>
  </si>
  <si>
    <t>Chinese J. Geophys.-Chinese Ed.</t>
  </si>
  <si>
    <t>842FI</t>
  </si>
  <si>
    <t>WOS:000222988300007</t>
  </si>
  <si>
    <t>Goodwin, ID; van Ommen, TD; Curran, MAJ; Mayewski, PA</t>
  </si>
  <si>
    <t>Mid latitude winter climate variability in the South Indian and southwest Pacific regions since 1300 AD</t>
  </si>
  <si>
    <t>SEA-LEVEL PRESSURE; NCEP-NCAR REANALYSIS; LAW-DOME; SEMIANNUAL OSCILLATION; ICE CORE; ATMOSPHERIC CIRCULATION; EAST ANTARCTICA; TEMPORAL VARIABILITY; ANNULAR MODES; HEMISPHERE</t>
  </si>
  <si>
    <t>Mid-latitude winter atmospheric variability in the South Indian Ocean and southwest Pacific Ocean regions of the circum-Antarctic are reconstructed using sea-salt aerosol concentrations measured in the high resolution Law Dome (DSS) ice core from East Antarctica. The sea-salt aerosol concentration data, as sodium (Na), were measured at approximately monthly resolution spanning the past 700 years. Analyses of covariations between Na concentrations in Law Dome ice, and mean sea-level pressure (MSLP) and wind field data were conducted to define the mid-latitude and sub-Antarctic atmospheric circulation patterns associated with variations in Na delivery. High Na concentrations in Law Dome snow are associated with increased meridional aerosol transport from mid-latitude sources. The seasonal average Na concentration for early winter (May, June, July (MJJ)) is strongly correlated to the mid-latitude MSLP field in the South Indian and southwest Pacific Oceans, and southern Australian regions. In addition, the average MJJ Na concentrations display a strong association with the stationary Rossby wave number 3 circulation, and are anti-correlated to the Southern Annular Mode (SAM) index of climate variability: high (low) Na concentrations occurring during negative (positive) SAM phases. This observed relationship is used to derive a proxy record for early-winter MSLP anomalies and the SAM in the South Indian and southwest Pacific Ocean regions over the period 1300-1995 AD. The proxy SAM index from 1300 to 1995 AD shows pronounced decadal-scale variability throughout. The period after 1500 AD is marked by a tendency toward slower variations and a weakly-positive mean SAM (enhanced westerlies in the 50degrees to 65degreesS zone) compared to the early part of the record.</t>
  </si>
  <si>
    <t>Univ Newcastle, Sch Environm &amp; Life Sci, Environm Geosci Grp, Callaghan, NSW 2308, Australia; Australian Antarctic Div, Dept Environm &amp; Heritage, Hobart, Tas 7001, Australia; Antarctic Climate &amp; Ecosyst CRC, Hobart, Tas 7001, Australia; Univ Maine, Climate Change Inst, Orono, ME 04469 USA</t>
  </si>
  <si>
    <t>University of Newcastle; Australian Antarctic Division; University of Tasmania; University of Maine System; University of Maine Orono</t>
  </si>
  <si>
    <t>Goodwin, ID (corresponding author), Univ Newcastle, Sch Environm &amp; Life Sci, Environm Geosci Grp, Callaghan, NSW 2308, Australia.</t>
  </si>
  <si>
    <t>ian.goodwin@newcastle.edu.au</t>
  </si>
  <si>
    <t>Mayewski, Paul Andrew/HRD-6969-2023; van Ommen, Tas/B-5020-2012</t>
  </si>
  <si>
    <t>van Ommen, Tas/0000-0002-2463-1718; Goodwin, Ian/0000-0001-8682-6409</t>
  </si>
  <si>
    <t>10.1007/s00382-004-0403-3</t>
  </si>
  <si>
    <t>836RZ</t>
  </si>
  <si>
    <t>WOS:000222574800001</t>
  </si>
  <si>
    <t>Tuckey, N; Davison, W</t>
  </si>
  <si>
    <t>Mode of locomotion places selective pressures on Antarctic and temperate labriform swimming fish</t>
  </si>
  <si>
    <t>Antarctic; exercise; fish; labriform; lactate; LDH; muscle; stress</t>
  </si>
  <si>
    <t>METABOLIC COLD ADAPTATION; PAGOTHENIA-BORCHGREVINKI; LACTATE-DEHYDROGENASE; STRESS-RESPONSE; PERFORMANCE; EXERCISE; TELEOST; CATECHOLAMINES; MUSCLE; OSMOREGULATION</t>
  </si>
  <si>
    <t>The physiological responses to exercise and stress of the Antarctic labriform swimmer P borchgrevinki were compared to the temperate labriform. swimmers Notolabrus celidottis and Notolabms fucicola. Basic swimming characteristics were very similar amongst the three species with P borchgrevinki showing a reduced capacity for exercise. R borchgrevinki showed large increases in haematocrit (Hct) following exercise that were not seen in the temperate species. Lactate dehydrogenase (LDH) activities were high in the white myotomal muscle from the Antarctic fish, with a distinct indication of metabolic cold adaptation in this enzyme. Nevertheless, although the temperate fish showed elevated muscle lactate concentrations following either exercise or electrical stimulation the Antarctic fish did not. The data suggest that poor anaerobic performance of white muscle is associated with the labriform mode of locomotion. (C) 2004 Elsevier Inc. All rights reserved.</t>
  </si>
  <si>
    <t>Univ Canterbury, Sch Biol Sci, Christchurch 8001, New Zealand</t>
  </si>
  <si>
    <t>Univ Canterbury, Sch Biol Sci, Private Bag 4800, Christchurch 8001, New Zealand.</t>
  </si>
  <si>
    <t>npt14@student.canterbury.ac.nz; bill.davison@canterbury.ac.nz</t>
  </si>
  <si>
    <t>Tuckey, Nicholas Pierre Lemieux/AAF-2285-2020</t>
  </si>
  <si>
    <t>Tuckey, Nicholas Pierre Lemieux/0000-0003-1437-636X</t>
  </si>
  <si>
    <t>10.1016/j.cbpb.2004.05.005</t>
  </si>
  <si>
    <t>851RS</t>
  </si>
  <si>
    <t>WOS:000223703500018</t>
  </si>
  <si>
    <t>Boutron, C; Rosman, K; Barbante, C; Bolshov, M; Adams, F; Hong, SM; Ferrari, C</t>
  </si>
  <si>
    <t>Anthropogenic lead in polar snow and ice archives.</t>
  </si>
  <si>
    <t>COMPTES RENDUS GEOSCIENCE</t>
  </si>
  <si>
    <t>French</t>
  </si>
  <si>
    <t>lead; snow; ice; trace analysis; isotopes; speciation; pollution; Roman Empire; leaded gasoline</t>
  </si>
  <si>
    <t>ISOTOPIC SOURCE SIGNATURES; CENTRAL GREENLAND SNOW; ALTITUDE ALPINE SNOW; PER-GRAM LEVEL; ANTARCTIC SNOW; HEAVY-METALS; ORGANOLEAD POLLUTION; SPECIATION ANALYSIS; ATMOSPHERIC LEAD; RECORD</t>
  </si>
  <si>
    <t>The investigation of the occurrence of lead in dated snow and ice from Greenland and Antarctica has played a major role in our understanding of the history of the pollution of the atmosphere of our planet by this metal. Such studies have however proved to be very demanding, mainly because of the extreme purity of polar snow and ice. Reliable measurements can be obtained only if ultra-clean and highly sensitive procedures are used, as pioneered by Clair Patterson. The Greenland data show evidence of large-scale pollution of the atmosphere of the Northern Hemisphere for lead as early as two millennia ago during Greco-Roman times, especially because of mining and smelting activities in southern Spain. It peaked at the end of the 1960s, with lead concentrations in snow about 200 times higher than natural values, before declining during recent times because of the fall in the use of leaded gasoline. Lead pollution in Antarctica was already significant at the end of the 19th century as a consequence of whaling activities, the traffic of coal-powered ships crossing the Cape Horn, and mining activities in South America, South Africa and Australia. After declining because of the opening of the Panama Canal, the great economic depression and World War II, it reached a maximum during the 1980s, with lead concentrations 20 times higher than natural values. Other studies focus on past natural variations of lead in ancient ice dated from the last climatic cycles. (C) 2004 Academie des sciences. Publie par Elsevier SAS. Tons droits reserves.</t>
  </si>
  <si>
    <t>Domaine Univ, CNRS, UMR 5183, Lab Glaciol &amp; Geophys Environm, F-38402 St Martin Dheres, France; Univ Grenoble 1, Domaine Univ, UFR Phys &amp; Observ Sci Univ, F-38041 Grenoble, France; Maison Univ, Inst Univ France, F-75005 Paris, France; Curtin Univ Technol, Dept Appl Phys, Perth, WA 6845, Australia; Univ Venice, Dept Environm Sci, I-30123 Venice, Italy; Univ Venice, CNR, Inst Dynam Environm Proc, I-30123 Venice, Italy; Russian Acad Sci, Inst Spect, Troitsk 142092, Moscow Region, Russia; Univ Antwerp, Dept Chem, Micro &amp; Trace Anal Ctr, B-2610 Antwerp, Belgium; Korea Ocean Res &amp; Dev Inst, Polar Sci Lab, Ansan 425600, South Korea; Univ Grenoble 1, Polytech Grenoble, F-38041 Grenoble, France</t>
  </si>
  <si>
    <t>Centre National de la Recherche Scientifique (CNRS); Communaute Universite Grenoble Alpes; Universite Grenoble Alpes (UGA); Communaute Universite Grenoble Alpes; Universite Grenoble Alpes (UGA); Institut Universitaire de France; Universite de Bourgogne; Curtin University; Universita Ca Foscari Venezia; Consiglio Nazionale delle Ricerche (CNR); Istituto per la Dinamica dei Processi Ambientali (IDPA-CNR); Universita Ca Foscari Venezia; Russian Academy of Sciences; Institute of Spectroscopy; University of Antwerp; Korea Institute of Ocean Science &amp; Technology (KIOST); Communaute Universite Grenoble Alpes; Universite Grenoble Alpes (UGA); Institut National Polytechnique de Grenoble</t>
  </si>
  <si>
    <t>Domaine Univ, CNRS, UMR 5183, Lab Glaciol &amp; Geophys Environm, 54 Rue Moliere,BP 96, F-38402 St Martin Dheres, France.</t>
  </si>
  <si>
    <t>boutron@lgge.obs.ujf-grenoble.fr</t>
  </si>
  <si>
    <t>Bolshov, Mikhail/J-2249-2012; Barbante, Carlo/B-3195-2011</t>
  </si>
  <si>
    <t>Barbante, Carlo/0000-0003-4177-2288</t>
  </si>
  <si>
    <t>ELSEVIER FRANCE-EDITIONS SCIENTIFIQUES MEDICALES ELSEVIER</t>
  </si>
  <si>
    <t>ISSY-LES-MOULINEAUX</t>
  </si>
  <si>
    <t>65 RUE CAMILLE DESMOULINS, CS50083, 92442 ISSY-LES-MOULINEAUX, FRANCE</t>
  </si>
  <si>
    <t>1631-0713</t>
  </si>
  <si>
    <t>1778-7025</t>
  </si>
  <si>
    <t>CR GEOSCI</t>
  </si>
  <si>
    <t>C. R. Geosci.</t>
  </si>
  <si>
    <t>10.1016/j.crte.2004.01.008</t>
  </si>
  <si>
    <t>838VU</t>
  </si>
  <si>
    <t>WOS:000222742200001</t>
  </si>
  <si>
    <t>Wynne, MJ</t>
  </si>
  <si>
    <t>Evidence for the proposal of Hymenocladiopsis prolifera (Reinsch) comb. nov (Rhodymeniales, Rhodophyta)</t>
  </si>
  <si>
    <t>CRYPTOGAMIE ALGOLOGIE</t>
  </si>
  <si>
    <t>Gracilaria prolifera; Hymenocladiopsis; H. crustigena; H. prolifera; marine red algae; Rhodophyta; South Sandwich Islands</t>
  </si>
  <si>
    <t>ANTARCTICA; MACROALGAE; ISLAND; BIOMASS</t>
  </si>
  <si>
    <t>A collection of cystocarpic, spermatangial, and tetrasporangiate specimens of a red algal species from the South Sandwich Islands in the Antarctic presents evidence to identify this material as Gracilaria prolifera Reinsch and to conclude that this is an older available name for Hymenocladiopsis crustigena Moe. Thus, the binomial Hymenocladiopsis prolifera (Reinsch) comb. nov. is proposed.</t>
  </si>
  <si>
    <t>Univ Michigan, Dept Ecol &amp; Evolutionary Biol &amp; Herbarium, Ann Arbor, MI 48109 USA</t>
  </si>
  <si>
    <t>University of Michigan System; University of Michigan</t>
  </si>
  <si>
    <t>Wynne, MJ (corresponding author), Univ Michigan, Dept Ecol &amp; Evolutionary Biol &amp; Herbarium, Ann Arbor, MI 48109 USA.</t>
  </si>
  <si>
    <t>mwynne@umich.edu</t>
  </si>
  <si>
    <t>0181-1568</t>
  </si>
  <si>
    <t>CRYPTOGAMIE ALGOL</t>
  </si>
  <si>
    <t>Cryptogam. Algol.</t>
  </si>
  <si>
    <t>JUL-SEP</t>
  </si>
  <si>
    <t>881UY</t>
  </si>
  <si>
    <t>WOS:000225896100003</t>
  </si>
  <si>
    <t>Thorpe, SE; Heywood, KJ; Stevens, DP; Brandon, MA</t>
  </si>
  <si>
    <t>Tracking passive drifters in a high resolution ocean model: implications for interannual variability of larval krill transport to South Georgia</t>
  </si>
  <si>
    <t>ocean circulation; variability; model; Lagrangian drifters; antarctic circumpolar current; antarctic krill; southern ocean; Scotia Sea (50-65(circle)S, 65-30(circle)W)</t>
  </si>
  <si>
    <t>ANTARCTIC CIRCUMPOLAR WAVE; EUPHAUSIA-SUPERBA; GENERAL-CIRCULATION; SEA-ICE; CURRENT FRONT; SCOTIA SEA; FUR SEALS; TEMPERATURE; PREDATORS; RECRUITMENT</t>
  </si>
  <si>
    <t>A particle tracking scheme that uses velocity output from an interannually varying forced run of a global ocean circulation model (Parallel Ocean Climate Model; POCM_4C) allows variability in the transport pathways across the Scotia Sea to South Georgia to be examined for the first time. The time-variant surface fluxes introduce realistic variability into the model velocity fields. This causes large variations in near-surface, mixed-layer transport from the Antarctic Peninsula region to South Georgia, an island in the southwest Atlantic sector of the Southern Ocean. The variability occurs on a variety of timescales with seasonal and longer periods of variability apparent in the 18 year time series of results. A quasi-four year period of variability is evident across the region in the sea surface temperature fields of POCM_4C and appears in the particle tracking results. This period, noted in other Southern Ocean data sets and ascribed to the Antarctic Circumpolar Wave, has been observed in the reproductive success of higher marine predators breeding on the island. The predicted oceanographic variability is likely to be significant for the South Georgia ecosystem by affecting the influx into the region of Antarctic krill (Euphausia superba), the main prey of the higher predators. (C) 2004 Elsevier Ltd. All rights reserved.</t>
  </si>
  <si>
    <t>British Antarctic Survey, NERC, Cambridge CB3 0ET, England; Univ E Anglia, Sch Environm Sci, Norwich NR4 7TJ, Norfolk, England; Univ E Anglia, Sch Math, Norwich NR4 7TJ, Norfolk, England</t>
  </si>
  <si>
    <t>UK Research &amp; Innovation (UKRI); Natural Environment Research Council (NERC); NERC British Antarctic Survey; University of East Anglia; University of East Anglia</t>
  </si>
  <si>
    <t>seth@bas.ac.uk</t>
  </si>
  <si>
    <t>Brandon, Mark A/A-5804-2010; Heywood, Karen/L-1757-2016; Stevens, David/F-2509-2010</t>
  </si>
  <si>
    <t>Thorpe, Sally/0000-0002-5193-6955; Heywood, Karen/0000-0001-9859-0026; Stevens, David/0000-0002-7283-4405; Brandon, Mark/0000-0002-7779-0958</t>
  </si>
  <si>
    <t>10.1016/j.dsr.2004.02.008</t>
  </si>
  <si>
    <t>835MA</t>
  </si>
  <si>
    <t>WOS:000222486300003</t>
  </si>
  <si>
    <t>Nemirovskaya, IA; Novigatsky, AN</t>
  </si>
  <si>
    <t>Distribution of organic compounds and suspended matter in marine ice of the Eastern Antarctic</t>
  </si>
  <si>
    <t>DOKLADY EARTH SCIENCES</t>
  </si>
  <si>
    <t>SEA-ICE; HYDROCARBONS; SNOW</t>
  </si>
  <si>
    <t>Russian Acad Sci, Shirshov Inst Oceanol, Moscow 117851, Russia</t>
  </si>
  <si>
    <t>Russian Academy of Sciences; Shirshov Institute of Oceanology</t>
  </si>
  <si>
    <t>Russian Acad Sci, Shirshov Inst Oceanol, Nakhimovskii Pr 36, Moscow 117851, Russia.</t>
  </si>
  <si>
    <t>nemir@geo.sio.rssi.ru</t>
  </si>
  <si>
    <t>Nemirovskaya, Inna/GYD-8003-2022; Nemirovskaya, Inna/G-2392-2017; Novigatsky, A.N./D-5591-2017</t>
  </si>
  <si>
    <t>Nemirovskaya, Inna/0000-0002-2772-6982; Novigatsky, A.N./0000-0003-2814-878X</t>
  </si>
  <si>
    <t>1028-334X</t>
  </si>
  <si>
    <t>1531-8354</t>
  </si>
  <si>
    <t>DOKL EARTH SCI</t>
  </si>
  <si>
    <t>Dokl. Earth Sci.</t>
  </si>
  <si>
    <t>JUL-AUG</t>
  </si>
  <si>
    <t>397A</t>
  </si>
  <si>
    <t>852QQ</t>
  </si>
  <si>
    <t>WOS:000223771900025</t>
  </si>
  <si>
    <t>Bye, JAT</t>
  </si>
  <si>
    <t>Growing interfacially coupled oscillations of the ocean-atmosphere</t>
  </si>
  <si>
    <t>DYNAMICS OF ATMOSPHERES AND OCEANS</t>
  </si>
  <si>
    <t>air-sea interface; baroclinic instability; planetary boundary layers; interannual variability; seasonal variability</t>
  </si>
  <si>
    <t>ANTARCTIC CIRCUMPOLAR WAVE; CIRCULATION; EDDIES; WIND</t>
  </si>
  <si>
    <t>A stability analysis of the coupled ocean-atmosphere is presented which shows that the potential energy (PE) of the upper layer of the ocean is available to generate coupled growing planetary waves. An independent analysis suggests that the growth of these waves would be maintained in the presence of oceanic friction. The growing waves are a consequence of relaxing the rigid lid approximation on the ocean, thus allowing an upward transfer of energy across the sea surface. Using a two and a half layer model consisting of an atmospheric planetary boundary layer, coupled with a two layer ocean comprising an active upper layer and a lower layer in which the velocity perturbation is vanishingly small, it is shown that coupled unstable waves are generated, which extract PE from the main thermocline. The instability analysis is an extension of earlier work [Tellus 44A (1992) 67], which considered the coupled instability of an atmospheric planetary boundary layer coupled with an oceanic mixed layer, in which unstable waves were generated which extract PE from the seasonal thermocline. The unstable wave is an atmospheric divergent barotropic Rossby wave, which is steered by the zonal wind velocity, and has a wavelength of about 6000 km, and propagates eastward at the speed of the deep ocean current. It is argued that this instability, which has a multidecadal growth time constant, may be generated in the Southern Ocean, and that its properties are similar to observations of the Antarctic Circumpolar Wave (ACW). (C) 2004 Elsevier B.V. All rights reserved.</t>
  </si>
  <si>
    <t>jbye@unimelb.edu.au</t>
  </si>
  <si>
    <t>0377-0265</t>
  </si>
  <si>
    <t>1872-6879</t>
  </si>
  <si>
    <t>DYNAM ATMOS OCEANS</t>
  </si>
  <si>
    <t>Dyn. Atmos. Oceans</t>
  </si>
  <si>
    <t>10.1016/j.dynatmoce.2004.03.001</t>
  </si>
  <si>
    <t>Geochemistry &amp; Geophysics; Meteorology &amp; Atmospheric Sciences; Oceanography</t>
  </si>
  <si>
    <t>830NA</t>
  </si>
  <si>
    <t>WOS:000222127900002</t>
  </si>
  <si>
    <t>Chiuchiolo, AL; Dickhut, RM; Cochran, MA; Ducklow, HW</t>
  </si>
  <si>
    <t>Persistent organic pollutants at the base of the Antarctic marine food web</t>
  </si>
  <si>
    <t>BROMINATED FLAME RETARDANTS; POLYCHLORINATED-BIPHENYLS; ORGANOCHLORINE PESTICIDES; SEA-ICE; VAPOR-PRESSURES; PCBS; ZOOPLANKTON; BIOACCUMULATION; OCEAN; KRILL</t>
  </si>
  <si>
    <t>Various organochlorine pesticides and brominated diphenyl ethers (BDE-47, -99, and -100) were measured in sea ice algae, water column plankton, and juvenile and adult krill collected in the Palmer Long-Term Ecological Research (LTER) region west of the Antarctic Peninsula during late austral winter and midsummer, 2001-2002. BDEs were 100-1000 times higher in ice algae and 2-10 times higher in phytoplankton than the most abundant organochlorine pesticide, hexachlorobenzene (HCB), reflecting the current production and use of BDEs versus organochlorine pesticides. However, concentrations of HCB and BDEs were significantly lower in summer plankton than in ice algae indicating lower atmospheric inputs, removal from the water column, and/or biodilution of persistent organic pollutants at the base of the food web during summer. Concentrations of HCB (juvenile and adult krill) and BIDES (juvenile krill) were not significantly different from their primary food source (ice algae, phytoplankton), and BDEs were significantly lower in adult krill versus phytoplankton, indicating no biomagnification of HCB or BIDES during transfer from plankton to krill. The high concentrations of BDEs and HCB in ice algae and associated juvenile krill illustrate the importance of sea ice as a vector for entry of POPS into the Antarctic marine ecosystem.</t>
  </si>
  <si>
    <t>Coll William &amp; Mary, Sch Marine Sci, Virginia Inst Marine Sci, Gloucester Point, VA 23062 USA</t>
  </si>
  <si>
    <t>William &amp; Mary; Virginia Institute of Marine Science</t>
  </si>
  <si>
    <t>Coll William &amp; Mary, Sch Marine Sci, Virginia Inst Marine Sci, Gloucester Point, VA 23062 USA.</t>
  </si>
  <si>
    <t>rdickhut@vims.edu</t>
  </si>
  <si>
    <t>10.1021/es0351793</t>
  </si>
  <si>
    <t>834FG</t>
  </si>
  <si>
    <t>WOS:000222396400020</t>
  </si>
  <si>
    <t>Rhode, W</t>
  </si>
  <si>
    <t>Rhode, Wolfgang</t>
  </si>
  <si>
    <t>AMANDA Collaboration</t>
  </si>
  <si>
    <t>Latest results of AMANDA</t>
  </si>
  <si>
    <t>EUROPEAN PHYSICAL JOURNAL C</t>
  </si>
  <si>
    <t>In this contribution the latest analysis results of the Antarctic Muon And Neutrino Detector Array (AMANDA) are summarized. The status of recent hardware improvements is reported.</t>
  </si>
  <si>
    <t>[Rhode, Wolfgang; AMANDA Collaboration] Berg Univ Wuppertal, Fachbereich Phys, D-42097 Wuppertal, Germany</t>
  </si>
  <si>
    <t>University of Wuppertal</t>
  </si>
  <si>
    <t>Rhode, W (corresponding author), Berg Univ Wuppertal, Fachbereich Phys, Gaussstr 20, D-42097 Wuppertal, Germany.</t>
  </si>
  <si>
    <t>Rhode, Wolfgang/0000-0003-2636-5000</t>
  </si>
  <si>
    <t>1434-6044</t>
  </si>
  <si>
    <t>EUR PHYS J C</t>
  </si>
  <si>
    <t>Eur. Phys. J. C</t>
  </si>
  <si>
    <t>S953</t>
  </si>
  <si>
    <t>S955</t>
  </si>
  <si>
    <t>10.1140/epjcd/s2004-03-1600-5</t>
  </si>
  <si>
    <t>Physics, Particles &amp; Fields</t>
  </si>
  <si>
    <t>V11WZ</t>
  </si>
  <si>
    <t>WOS:000207563000258</t>
  </si>
  <si>
    <t>Waluda, CM; Trathan, PN; Rodhouse, PG</t>
  </si>
  <si>
    <t>Synchronicity in southern hemisphere squid stocks and the influence of the Southern Oscillation and Trans Polar Index</t>
  </si>
  <si>
    <t>Antarctic Circumpolar Current; environment; SOI; squid fishery; teleconnections; TPI</t>
  </si>
  <si>
    <t>TODARODES-PACIFICUS CEPHALOPODA; ILLEX-ARGENTINUS CEPHALOPODA; ANTARCTIC CIRCUMPOLAR WAVE; EL-NINO; LOLIGO-GAHI; DOSIDICUS-GIGAS; SEA-ICE; OMMASTREPHIDAE; RECRUITMENT; FLUCTUATIONS</t>
  </si>
  <si>
    <t>Squid are short lived, with highly labile populations that respond rapidly to changes in environmental conditions. This makes them a good model for studying the response of recruitment processes to environmental signals. This study examines the influence of the Southern Oscillation Index (SOI) and Trans Polar Index (TPI) on the environment and abundance of six species of commercially important squid from the southern hemisphere, all linked to major current systems connected by the Antarctic Circumpolar Current: Dosidicus gigas (Southeast Pacific), Loligo vulgaris reynaudii (Southeast Atlantic), Nototodarus sloanii, N. gouldi (Southwest Pacific), Illex argentinus and L. gahi (Southwest Atlantic). All fisheries displayed a high level of inter-annual variability and a degree of synchronicity was seen to occur in the abundance of the three Pacific species. The SOI signal was reflected in the environment of each fishery, particularly in Pacific regions. Both indices are correlated with squid abundance, particularly during the early life history stages (SOI) and adult stages (TPI), suggesting some degree of latitudinal separation, with juveniles potentially influenced by environmental variability at lower latitudes and adults at higher latitudes.</t>
  </si>
  <si>
    <t>clwa@bas.ac.uk</t>
  </si>
  <si>
    <t>Rodhouse, Paul/0000-0001-5399-967X</t>
  </si>
  <si>
    <t>10.1111/j.1365-2419.2004.00288.x</t>
  </si>
  <si>
    <t>831EJ</t>
  </si>
  <si>
    <t>WOS:000222175800003</t>
  </si>
  <si>
    <t>Roberts, EC; Priscu, JC; Laybourn-Parry, J</t>
  </si>
  <si>
    <t>Microplankton dynamics in a perennially ice-covered Antarctic lake - Lake Hoare</t>
  </si>
  <si>
    <t>Antarctica; ciliates; cryptophytes; lakes; protozoa</t>
  </si>
  <si>
    <t>DRY VALLEY LAKES; MIXOTROPHIC CRYPTOPHYTES; PLANKTON DYNAMICS; SEASONAL DYNAMICS; WATER COLUMN; PHYTOPLANKTON; FRYXELL; BIOMASS; CARBON; BONNEY</t>
  </si>
  <si>
    <t>1. Temporal and spatial variation in planktonic abundance, biomass and composition were determined in Lake Hoare (McMurdo Dry Valleys, Antarctica) over two summer seasons (1996-97 and 1997-98). 2. Phototrophic nanoflagellates (PNAN) dominated planktonic biomass, with a mean monthly biomass ranging between 27.3 and 40.4 mug C L-1. The deep chlorophyll maximum was mainly composed of cryptophytes (&gt;87% of total PNAN biomass) and varied in depth between 6 and 12 m. 3. Maximum bacterial concentration was 11.8 x 10(5) cells mL(-1). Bacterial abundance showed relatively little temporal variation, with the exception of a drop in numbers that occurred in late November of both years studied. 4. Ciliates were the most successful heterotrophic protozoan group, with a mean monthly biomass (1.2-3.2 mug C L-1) being typically at least double that of heterotrophic nanoflagellate (HNAN) biomass (0.1-0.7 mug C L-1). 5. Microbial processes within this lake appear to be dominated by bottom up control. The relative importance of allochthonous inputs into the lake (from the ice-cover and stream flow) and autochthonous recycling (by microzooplankton regeneration) are considered. 6. Results from a horizontal transect indicate that the permanence of the main sample hole may have enhanced planktonic biomass over a relatively small spatial scale.</t>
  </si>
  <si>
    <t>Univ Coll Swansea, Sch Biol Sci, Swansea SA2 8PP, W Glam, Wales; Univ Nottingham, Sch Biosci, Nottingham NG7 2RD, England; Montana State Univ, Dept Land Resources &amp; Environm Sci, Bozeman, MT 59717 USA</t>
  </si>
  <si>
    <t>Swansea University; University of Nottingham; Montana State University System; Montana State University Bozeman</t>
  </si>
  <si>
    <t>Roberts, EC (corresponding author), Univ Coll Swansea, Sch Biol Sci, Singleton Pk, Swansea SA2 8PP, W Glam, Wales.</t>
  </si>
  <si>
    <t>e.roberts@swansea.ac.uk</t>
  </si>
  <si>
    <t>10.1111/j.1365-2427.2004.01230.x</t>
  </si>
  <si>
    <t>829SL</t>
  </si>
  <si>
    <t>WOS:000222069900001</t>
  </si>
  <si>
    <t>Telmer, K; Bonham-Carter, GF; Kliza, DA; Hall, GEM</t>
  </si>
  <si>
    <t>The atmospheric transport and deposition of smelter emissions: Evidence from the multi-element geochemistry of snow, Quebec, Canada</t>
  </si>
  <si>
    <t>HEAVY-METALS; ANTARCTIC SNOW; TRACE-ELEMENTS; POLAR SNOW; KOLA-PENINSULA; ANTHROPOGENIC LEAD; GREENLAND SNOWS; FRENCH ALPS; MAJOR IONS; ICE</t>
  </si>
  <si>
    <t>Abundances of 35 elements and ions were determined by inductively coupled plasma mass spectrometry, inductively coupled plasma atomic emission spectroscopy, and ion chromatography, in samples of snowpack obtained using ultraclean procedures, along three 50-km radial transects emanating from the Home base metal smelter in Rouyn-Noranda, Quebec. This was done to constrain: what is emitted; regional background concentrations of elements in snow; the rate of anthropogenic deposition on the surrounding landscape: how far emissions are transported; and what processes control their deposition. The approach used is at least as effective as methods based on isotopic ratios but has the added advantage of providing direct constraint on a large suite of elements, and of being independent of changes in the isotopic composition of emissions. Reproducibility of the method was determined using field duplicates and blanks. This accounts for snow heterogeneity, analytical precision, reagent quality, and sample handling and was determined to be +/-20%. Concentrations of Cu, Pb, and Zn near the smelter are 525, 353, and 149 mug/L-meltwater, respectively, and drop to 2.1, 3.5, and 3.1 mug/L by 45 km distance. The level of enrichment of these elements, relative to upper crustal abundances, similarly drops from about 10,000 to 100 from proximal through to distal sites, forming an enrichment gradient. This is the result of a binary mix of smelter emissions and regional background concentrations. Elements that display a significant gradient must therefore be emitted by the smelter. This method shows that Cu, Ag, In, Sb, Pb, As, Tl, Mo, Zn, Cd, Co, Be, Ni, Na, Ba, Fe, Cr, V, Ti, Y, Al, U, Ce, Li. S, La, and Sr are deposited on the landscape by the smelter. For many elements, the slope of this binary mixing line is still non-zero at a distance of 50 kin, indicating that the impact of the smelter is still detectable, and that regional background levels have not yet been reached. Data from more distant sites are used to estimate regional background concentrations to be 1.1, 1.7, and 1.6 mug/L-meltwater for Cu, Pb, and Zn, respectively. We quantify the partitioning of elements between the dissolved phase (meltwater) and the solid phase (particulates) in melted snow. It varies with distance from the smelter but is element specific. Representative end-members are: Tl, Cu, Pb, Zn, and Sb with 78, 68, 67, 55, and 20% in the dissolved phase near the smelter, respectively, Vs. 4, 60, 73, 80, 58% at distances greater than 35 km. This is due to changes in mineralogy and particle size. The significance of this is, that for those elements with high variation such as Tl and Sb, only the total load (meltwater + particulate) can reliably reflect atmospheric deposition. For those elements that vary little such as Cu and Pb, measurement of just the dissolved load (meltwater) can be used as an adequate proxy for the total deposition. Observed patterns of deposition suggest that inside 15 km radius, it occurs by wet+dry mechanisms whereas beyond 15 km wet deposition dominates. Emissions transported beyond 15 km are therefore available for long-range transport during dry weather and likely have an atmospheric residence time similar to that of water vapour. A well fitting mathematical model supports this interpretation. Using modelled background concentrations, the model can account for only 49, 15, 23, and 9% of reported emissions of Cu, Pb, Zn, and Cd within 50 km of the smelter, respectively. Using lower (minimal) background concentrations based on observations at more distant sites, these numbers increase to 78, 19, and 43%, respectively (Cd excluded), and can be considered maximums. The rest of the emissions are therefore transported further distances during dry weather. Copyright (C) 2004 Elsevier Ltd.</t>
  </si>
  <si>
    <t>Univ Victoria, Sch Earth &amp; Ocean sci, Victoria, BC, Canada; Geol Survey Canada, Mineral Ressources Div, Ottawa, ON, Canada</t>
  </si>
  <si>
    <t>University of Victoria; Natural Resources Canada; Lands &amp; Minerals Sector - Natural Resources Canada; Geological Survey of Canada</t>
  </si>
  <si>
    <t>Univ Victoria, Sch Earth &amp; Ocean sci, Victoria, BC, Canada.</t>
  </si>
  <si>
    <t>ktelmer@uvic.ca</t>
  </si>
  <si>
    <t>10.1016/j.gca.2003.12.022</t>
  </si>
  <si>
    <t>835DP</t>
  </si>
  <si>
    <t>WOS:000222460800001</t>
  </si>
  <si>
    <t>Sugden, D; Denton, G</t>
  </si>
  <si>
    <t>Cenozoic landscape evolution of the Convoy Range to Mackay Glacier area, Transantarctic Mountains: Onshore to offshore synthesis</t>
  </si>
  <si>
    <t>Transantarctic Mountains; landscape evolution; East Antarctic Ice Sheet; paleoclimate</t>
  </si>
  <si>
    <t>SOUTHERN VICTORIA LAND; ANTARCTIC ICE-SHEET; DRY-VALLEYS; FLEXURAL ISOSTASY; BEACON VALLEY; EXPOSURE AGES; SIRIUS GROUP; RIFT FLANK; EAST; HISTORY</t>
  </si>
  <si>
    <t>On the basis of geomorphic mapping, we reconstruct the landscape evolution of the Convoy Range to Mackay Glacier area of the rifted margin of the Transantarctic Mountains and compare the land record with that obtained from offshore marine sedimentary rocks in the Ross Sea. Three landform assemblages reflect (1) fluvial planation and dissection, (2) local glaciation under temperate conditions, and (3) overriding by the East Antarctic Ice Sheet. Overall landscape evolution is typical of a passive continental margin. Contrasts in morphology between the Convoy Range and the adjacent Dry Valleys and Royal Society mountains reflect the varying location of the initial drainage divide in relationship to the rifted coast. In a wider synthesis we draw the following conclusions for the 260-km-long McMurdo sector of the Transantarctic Mountains. Denudation since rifting at ca. 55 Ma has removed a wedge 4-7 km thick at the coast, declining inland to similar to1 km. Most denudation occurred in the Eocene from planation and incision of river valleys near the coast. A subsequent pulse of denudation, most rapid at 34-31 Ma, and declining until ca. 17 Ma, coincided with further crustal extension and a change from cool temperate to polar climate. During the same interval, there was a progressive decrease in landscape modification by warm-based glaciers and/or rivers. Between 14.8 and 13.6 Ma the maximum overriding Antarctic ice sheet flowed northeastward across the mountains, leaving meltwater features crossing high-altitude saddles and areally scoured bedrock near the coast. Since 13.6 Ma, the landscape has seen little change under a hyperarid polar climate, either by local glaciers or subaerially. Fragile middle Miocene surficial deposits still survive. There has been tectonic stability since the middle Miocene.</t>
  </si>
  <si>
    <t>Univ Edinburgh, Sch Geosci, Inst Geog, Edinburgh EH8 9XP, Midlothian, Scotland; Univ Maine, Edward T Bryand Global Sci Ctr, Dept Earth Sci, Orono, ME 04469 USA; Univ Maine, Edward T Bryand Global Sci Ctr, Climate Change Inst, Orono, ME 04469 USA</t>
  </si>
  <si>
    <t>University of Edinburgh; University of Maine System; University of Maine Orono; University of Maine System; University of Maine Orono</t>
  </si>
  <si>
    <t>Univ Edinburgh, Sch Geosci, Inst Geog, Drummond St, Edinburgh EH8 9XP, Midlothian, Scotland.</t>
  </si>
  <si>
    <t>david.sugden@ed.ac.uk; debbies@maine.maine.edu</t>
  </si>
  <si>
    <t>7-8</t>
  </si>
  <si>
    <t>10.1130/B25356.1</t>
  </si>
  <si>
    <t>835OM</t>
  </si>
  <si>
    <t>WOS:000222493100005</t>
  </si>
  <si>
    <t>Scherer, RP; Sjunneskog, CM; Iverson, NR; Hooyer, TS</t>
  </si>
  <si>
    <t>Assessing subglacial processes from diatom fragmentation patterns</t>
  </si>
  <si>
    <t>diatom; fragmentation; ring shear; Antarctic; Ross Sea; ice stream; till; diamicton; pennate; centric</t>
  </si>
  <si>
    <t>ANTARCTIC ICE STREAM; PLEISTOCENE-HOLOCENE RETREAT; TILL DEFORMATION; SHEET SYSTEM; RING-SHEAR; ROSS SEA; BENEATH; CONSTRAINTS; SHELF</t>
  </si>
  <si>
    <t>Reconstructing the size and glacial style of past ice-sheet advances requires interpreting complex glacial sedimentary facies. We use diatoms, a major component of Antarctic continental shelf deposits, to infer the physical conditions under which these deposits were emplaced. The degree of diatom fragmentation and the presence of diatoms of varying stratigraphic age in glacial sediments provide means to qualitatively gauge glacial mixing and transport. Here we report an experimentally calibrated index of diatom fragmentation that provides a simple but objective method of assessing the degree of subshearing imparted on marine glacial sedimentary deposits. By using a ring-shear device to subject diatomaceous sediment to stresses comparable to those beneath the Ross ice streams, we quantitatively assess patterns of diatom comminution resulting from compaction and from progressive shear stress. Elongate pennate diatoms are found to break disproportionately to discoid centric diatoms when subjected to shear stress; thus, a simple ratio of unbroken centric to pennate diatoms provides a reliable gauge of past shearing. Comparison of ring-shear results with a suite of previously analyzed sediments that represent a variety of glacial, glacial-marine, and hemipelagic settings of the Ross Sea and subglacial Ross Embayment demonstrates that this index can be employed for estimating relative subglacial stresses in this setting.</t>
  </si>
  <si>
    <t>No Illinois Univ, De Kalb, IL 60115 USA; Iowa State Univ, Ames, IA 50011 USA; Univ Wisconsin, Wisconsin Geol Survey, Madison, WI 53705 USA</t>
  </si>
  <si>
    <t>Northern Illinois University; Iowa State University; University of Wisconsin System; University of Wisconsin Madison</t>
  </si>
  <si>
    <t>Scherer, RP (corresponding author), No Illinois Univ, De Kalb, IL 60115 USA.</t>
  </si>
  <si>
    <t>10.1130/G20423.1</t>
  </si>
  <si>
    <t>835NP</t>
  </si>
  <si>
    <t>WOS:000222490800004</t>
  </si>
  <si>
    <t>Jacka, TH; Abdalati, W; Allison, I; Carsey, F; Casassa, G; Fily, M; Frezzotti, M; Fricker, HA; Genthon, C; Goodwin, I; Guo, Z; Hamilton, GS; Hindmarsh, RCA; Hulbe, CL; Jacka, TH; Jezek, KC; Scambos, TA; Shuman, C; Skvarca, P; Takahashi, S; van de Wal, RSW; Vaughan, DG; Wang, WL; Warner, RC; Wingham, DJ; Young, NW; Zwally, HJ</t>
  </si>
  <si>
    <t>ISMASS Comm</t>
  </si>
  <si>
    <t>Recommendations for the collection and synthesis of Antarctic Ice Sheet mass balance data</t>
  </si>
  <si>
    <t>Antarctica; ice sheet; ice shelf; ice mass balance; remote sensing</t>
  </si>
  <si>
    <t>GROUNDING-LINE RETREAT; WEST ANTARCTICA; PINE ISLAND; POLAR ICE; STREAM-C; SHELF; ACCUMULATION; GREENLAND; MODEL; FLOW</t>
  </si>
  <si>
    <t>Recent unexpected changes in the Antarctic Ice Sheet, including ice sheet thinning, ice shelf collapse and changes in ice velocities, along with the recent realization that as much as one third of ice shelf mass loss is due to bottom melt, place a new urgency on understanding the processes involved in these changes. Technological advances, including very new or forthcoming satellite-based (e.g. ICESat, CryoSat) remote sensing missions, will improve our ability to make meaningful determinations of changes in Antarctic Ice Sheet mass balance. This paper is the result of a workshop held to develop a strategy for international collaboration aimed at the collection and synthesis of Antarctic Ice Sheet mass balance data, and at understanding the processes involved so that we might predict future change. Nine sets of recommendations are made, concerning the most important and sensitive measurements, temporal ranges and study areas. A final tenth recommendation calls for increased synthesis of ice sheet data and communication between the field measurement, satellite observation and modelling communities. (C) 2004 Published by Elsevier B.V.</t>
  </si>
  <si>
    <t>Australian Antarctic Div, Hobart, Tas 7001, Australia; ACE, CRC, Hobart, Tas 7001, Australia</t>
  </si>
  <si>
    <t>Australian Antarctic Div, Private Bag 80, Hobart, Tas 7001, Australia.</t>
  </si>
  <si>
    <t>jglac@bigpond.com</t>
  </si>
  <si>
    <t>Hamilton, Gordon S/G-1679-2011; Casassa, Gino/AAX-6142-2020; FREZZOTTI, Massimo/AAK-7275-2020; Hindmarsh, Richard/N-1195-2019; Rignot, Eric/A-4560-2014; van de wal, roderik/D-1705-2011; Allison, Ian F/I-4477-2015; Vaughan, David/C-8348-2011; Scambos, Ted A/B-1856-2009; Warner, Robert R./M-5342-2013</t>
  </si>
  <si>
    <t>FREZZOTTI, Massimo/0000-0002-2461-2883; Hindmarsh, Richard/0000-0003-1633-2416; Rignot, Eric/0000-0002-3366-0481; van de wal, roderik/0000-0003-2543-3892; Allison, Ian F/0000-0001-9599-0251; Young, Neal/0000-0001-9729-3273; Takahashi, Shuhei/0000-0003-2303-8928; Ritz, Catherine/0000-0003-0785-8571; SCAMBOS, Ted A./0000-0003-4268-6322; Warner, Roland/0000-0002-9778-3544; Nixdorf, Uwe/0000-0002-6288-4361; Vaughan, David/0000-0002-9065-0570; Goodwin, Ian/0000-0001-8682-6409; Hulbe, Christina/0000-0003-4765-7037</t>
  </si>
  <si>
    <t>10.1016/j.gloplacha.2003.11.008</t>
  </si>
  <si>
    <t>845ID</t>
  </si>
  <si>
    <t>WOS:000223234800002</t>
  </si>
  <si>
    <t>James, TS; Jacka, TH; Morelli, A; Dietrich, R</t>
  </si>
  <si>
    <t>Ice sheets and neotectonics</t>
  </si>
  <si>
    <t>Geol Survey Canada, Sidney, BC V8L 4B2, Canada; Australian Antarctic Div, Hobart, Tas, Australia; Antartic Climate &amp; Ecosyst Cooperat Res Ctr, Hobart, Tas, Australia; Ist Nazl Geofis &amp; Vulcanolo2gia, I-00161 Rome, Italy; Tech Univ Dresden, D-8027 Dresden, Germany</t>
  </si>
  <si>
    <t>Natural Resources Canada; Lands &amp; Minerals Sector - Natural Resources Canada; Geological Survey of Canada; Australian Antarctic Division; Technische Universitat Dresden</t>
  </si>
  <si>
    <t>James, TS (corresponding author), Geol Survey Canada, Sidney, BC V8L 4B2, Canada.</t>
  </si>
  <si>
    <t>james@pgc.nrcan.gc.ca</t>
  </si>
  <si>
    <t>James, Thomas/D-9301-2013; morelli, andrea/F-2486-2016</t>
  </si>
  <si>
    <t>James, Thomas/0000-0001-7321-047X; Morelli, Andrea/0000-0002-7400-8676</t>
  </si>
  <si>
    <t>VII</t>
  </si>
  <si>
    <t>IX</t>
  </si>
  <si>
    <t>10.1016/j.gloplacha.2004.02.002</t>
  </si>
  <si>
    <t>WOS:000223234800001</t>
  </si>
  <si>
    <t>Hamilton, GS; Spikes, VB</t>
  </si>
  <si>
    <t>Evaluating a satellite altimeter-derived digital elevation model of Antarctica using precision kinematic GPS profiling</t>
  </si>
  <si>
    <t>Antarctica; polar ice sheets; glaciology; geodesy</t>
  </si>
  <si>
    <t>GREENLAND ICE-SHEET; HIGH-RESOLUTION; WEST ANTARCTICA; RADAR ALTIMETRY; ACCURACY; BALANCE; STREAMS; IMAGERY; SYSTEM; SHELF</t>
  </si>
  <si>
    <t>The Radarsat Antarctic Mapping Project Digital Elevation Model (RAMP DEM) represents the best currently available compilation of Antarctic surface topography. Satellite altimeter data provide the foundation for most of the DEM, augmented where available with other mapping and survey information. We use precision global positioning system (GPS) data collected continuously along several profiles 150-320 km long in West and East Antarctica to independently assess the performance of the DEM in capturing the shape of the ice sheet surface. Overall, the DEM performs well at representing the gross morphology of the ice sheet north of 81.4degreesS. South of this latitude, where the DEM is unconstrained by high-resolution altimeter data, the DEM is less capable of capturing surface topographic detail, and elevation accuracy degrades. The comparison with GPS data indicates that the horizontal resolution of the DEM over well-constrained inland portions of the ice sheet is approximately 8 km. This resolution is larger than initial estimates, meaning that many of the important topographic details of the ice sheet surface are omitted. This omission has implications for applications using the DEM to understand patterns of local accumulation rate variability or for mapping ice flow features. There also appear to be some errors in the absolute elevations, especially in regions of relatively rugged inland topography where GPS elevations differ by up to 50 m from DEM elevations. (C) 2004 Published by Elsevier B.V</t>
  </si>
  <si>
    <t>Hamilton, GS (corresponding author), Univ Maine, Climate Change Inst, 303 Bryand Global Sci Ctr, Orono, ME 04469 USA.</t>
  </si>
  <si>
    <t>gordon.hamilton@maine.edu</t>
  </si>
  <si>
    <t>10.1016/j.gloplacha.2003.11.002</t>
  </si>
  <si>
    <t>WOS:000223234800003</t>
  </si>
  <si>
    <t>Richardson-Näslund, C</t>
  </si>
  <si>
    <t>Spatial characteristics of snow accumulation in Dronning Maud Land, Antarctica</t>
  </si>
  <si>
    <t>spatial; snow accumulation; Dronning Maud Land</t>
  </si>
  <si>
    <t>SURFACE MASS-BALANCE; TEMPERATURE; VARIABILITY; CHEMISTRY; CORES</t>
  </si>
  <si>
    <t>An accurate knowledge of spatial variations in snow accumulation on ice sheets is vital for numerical reconstructions and future projections of ice sheet dynamics, with implications for changes in global climate and sea level. This study considers net snow accumulation in Dronning Maud Land, East Antarctica. Ground-penetrating radar (GPR) soundings were carried out along two ground traverses, 800 and 1000 km long, extending from the ice shelves to the high plateau in order to map snow accumulation rates continuously along the route. Comparisons between the net accumulation rates obtained by GPR and those obtained by stake-line measurements exhibited a close correlation. Large dissimilarities in the accumulation distribution were observed between the two traverses. The ice sheet surface topography and the regional distribution of air pressure systems and cyclone tracks can explain these differences to a large extent. Spatial trends in snow accumulation rate were determined for characteristic traverse sections. The spatial variability was calculated as the standard deviation in snow accumulation rate over 5 km, expressed as percentages of the average accumulation within the 5-km section. On ice shelves, the spatial variability was less than 10%. In grounded coastal areas, it ranged between 20% and 40%, and on the high plateau, it ranged up to 20%. In areas of intense wind erosion, the spatial variability often exceeded 50%. The generally high spatial variability demonstrates that the spatial representativeness of individual point measurements is of vital importance in Antarctic snow accumulation studies. This is a problem that is presently not properly attributed. (C) 2004 Elsevier B.V. All rights reserved.</t>
  </si>
  <si>
    <t>Univ Stockholm, Dept Phys Geog &amp; Quaternary Geol, S-10691 Stockholm, Sweden</t>
  </si>
  <si>
    <t>Univ Stockholm, Dept Phys Geog &amp; Quaternary Geol, S-10691 Stockholm, Sweden.</t>
  </si>
  <si>
    <t>Cecilia.Richardson@natgeo.su.se</t>
  </si>
  <si>
    <t>10.1016/j.gloplacha.2003.11.009</t>
  </si>
  <si>
    <t>WOS:000223234800004</t>
  </si>
  <si>
    <t>Braun, M; Hock, R</t>
  </si>
  <si>
    <t>Spatially distributed surface energy balance and ablation modelling on the ice cap of King George Island (Antarctica)</t>
  </si>
  <si>
    <t>surface energy balance; ablation; snowmelt; distributed modelling; climatic change; King George Island; South Shetland Islands; Antarctica</t>
  </si>
  <si>
    <t>SOUTH SHETLAND ISLANDS; GLACIER; SHELF; RETREAT; PENINSULA; FIELD</t>
  </si>
  <si>
    <t>Unlike continental Antarctica, snow and ice melt is a significant component of the mass balance of glacial systems on the northern Antarctic Peninsula. Over several austral summers, a comprehensive field programme was conducted on the King George Island ice cap including the operation of three automatic weather stations and ablation measurements at different altitudes. These data were used to drive a spatially distributed energy balance model to investigate melt during the period from 2 December 1997 to 12 January 1998. Averaged over the study area (418 kin 2) and over this 6-week period, net radiation was found to be the main energy source (26 W m(-2)) followed by the sensible heat flux (8 W m(-2)). The latent heat,flux was negative (-8 W m(-2)) indicative of sublimation. High melt rates prevailed during synoptic weather conditions associated with low or even reversed temperature lapse rates. However, little melting occurred during periods of high decrease in air temperature with increasing elevation (-0.8 to -1 K 100 m-1). These findings provide sufficient warning for the adoption of a constant lapse rate derived from averaged longer-term data which would significantly underestimate total melt due to underestimation of air temperatures at higher elevations during the periods when most melt occurs. Increasing air temperature by 1 and 2 K enhanced spatially averaged ablation by 27% and 62%, respectively, suggesting a high sensitivity to potential future climate warming in the area. (C) 2004 Elsevier B.V All rights reserved.</t>
  </si>
  <si>
    <t>Univ Bonn, Zentrum Fernerkundung Landoberflache, D-53113 Bonn, Germany; Univ Freiburg, Inst Phys Geog, D-79085 Freiburg, Germany; Stockholm Univ, Dept Phys Geog &amp; Quaternary Geol, SE-10691 Stockholm, Sweden</t>
  </si>
  <si>
    <t>University of Bonn; University of Freiburg; Stockholm University</t>
  </si>
  <si>
    <t>Univ Bonn, Zentrum Fernerkundung Landoberflache, Walter Flex Str 3, D-53113 Bonn, Germany.</t>
  </si>
  <si>
    <t>mafthias.braun@uni-bonn.de; regine.hock@natgeo.su.se</t>
  </si>
  <si>
    <t>Hock, Regine/C-6179-2013; Braun, Matthias H/S-4693-2016; Braun, Matthias/A-4968-2009; Hock, Regine/JTT-4089-2023</t>
  </si>
  <si>
    <t>Braun, Matthias/0000-0001-5169-1567; Hock, Regine/0000-0001-8336-9441</t>
  </si>
  <si>
    <t>10.1016/j.gloplacha.2003.11.010</t>
  </si>
  <si>
    <t>WOS:000223234800005</t>
  </si>
  <si>
    <t>Huybrechts, P; Gregory, J; Janssens, I; Wild, M</t>
  </si>
  <si>
    <t>Modelling Antarctic and Greenland volume changes during the 20th and 21st centuries forced by GCM time slice integrations</t>
  </si>
  <si>
    <t>polar ice sheets; climate change; sea level rise; greenhouse warming; numerical modeling; mass balance</t>
  </si>
  <si>
    <t>GLOBAL SEA-LEVEL; POLAR ICE SHEETS; MASS-BALANCE; CLIMATE CHANGES; TERM RESPONSE; ACCUMULATION; TEMPERATURE; PRECIPITATION; ELEVATION; TRENDS</t>
  </si>
  <si>
    <t>Current and future volume changes of the Greenland and Antarctic ice sheets depend on modem mass balance changes and on the ice-dynamic response to the environmental forcing on time scales as far back as the last glacial period. Here we focus on model predictions for the 20th and 21st centuries using 3-D thermomechanical ice sheet/ice shelf models driven by climate scenarios obtained from General Circulation Models. High-resolution anomaly patterns from the ECHAM4 and HadAM3H time slice integrations are scaled with time series from a variety of lower-resolution Atmosphere-Ocean General Circulation Models (AOGCM) to obtain the spread of results for the same emission scenario and the same set of ice-sheet model parameters. Particular attention is paid to the technique of pattern scaling and on how GCM based predictions differ from older ice-sheet model results based on more parameterised mass-balance treatments. As a general result, it is found that the effect of increased precipitation on Antarctica dominates over the effect of increased melting on Greenland for the entire range of predictions, so that both polar ice sheets combined would gain mass in the 21st century. The results are very similar for both time-slice patterns driven by the underlying time evolution series with most of the scatter in the results caused by the variability in the lower-resolution AOGCMs. Combining these results with the long-term background trend yields a 20th and 21st century sea-level trend from polar ice sheets that is however not significantly different from zero. (C) 2004 Elsevier B.V All rights reserved.</t>
  </si>
  <si>
    <t>Alfred Wegener Inst Polar &amp; Marine Res, D-27515 Bremerhaven, Germany; Free Univ Brussels, Dept Geog, B-1050 Brussels, Belgium; Meteorol Off, Hadley Ctr Climate Predict &amp; Res, Bracknell RG12 2SY, Berks, England; Univ Reading, Dept Meteorol, Reading RG6 6BB, Berks, England; Swiss Fed Inst Technol, ETH, Inst Atmospher &amp; Climate Sci, CH-8057 Zurich, Switzerland</t>
  </si>
  <si>
    <t>Helmholtz Association; Alfred Wegener Institute, Helmholtz Centre for Polar &amp; Marine Research; Universite Libre de Bruxelles; Met Office - UK; Hadley Centre; University of Reading; Swiss Federal Institutes of Technology Domain; ETH Zurich</t>
  </si>
  <si>
    <t>phuybrechts@awi-bremerhaven.de</t>
  </si>
  <si>
    <t>Wild, Martin/J-8977-2012; Gregory, Jonathan/J-2939-2016; Huybrechts, Philippe/J-5278-2013</t>
  </si>
  <si>
    <t>Gregory, Jonathan/0000-0003-1296-8644; Huybrechts, Philippe/0000-0003-1406-0525</t>
  </si>
  <si>
    <t>10.1016/j.gloplacha.2003.11.011</t>
  </si>
  <si>
    <t>WOS:000223234800007</t>
  </si>
  <si>
    <t>Grosfeld, K; Sandhäger, H</t>
  </si>
  <si>
    <t>The evolution of a coupled ice shelf-ocean system under different climate states</t>
  </si>
  <si>
    <t>ice shelf-ocean interaction; modeling; climate change; Antarctica</t>
  </si>
  <si>
    <t>CIRCULATION BENEATH; THERMOHALINE CIRCULATION; MASS-BALANCE; MARINE ICE; MODEL; RONNE; ANTARCTICA; SENSITIVITY; STABILITY; EQUATION</t>
  </si>
  <si>
    <t>Based on a new approach for coupled applications of an ice shelf model and an ocean general circulation model, we investigate the evolution of an ice shelf-ocean system and its sensitivity to changed climatic boundary conditions. Combining established 3D models into a coupled model system enabled us to study the reaction and feedbacks of each component to changes at their interface, the ice shelf base. After calculating the dynamics for prescribed initial ice shelf and bathymetric geometries, the basal mass balance determines the system evolution. In order to explore possible developments for given boundary conditions, an idealized geometry has been chosen, reflecting basic features of the Filchner-Ronne Ice Shelf, Antarctica. The model system is found to be especially sensitive in regions where high ablation or accretion rates occur. Ice Shelf Water formation as well as the build up of a marine ice body, resulting from accretion of marine ice, is simulated, indicating strong interaction processes. To improve consistency between modeled and observed ice shelf behavior, we incorporate the typical cycle of steady ice front advance and sudden retreat due to tabular iceberg calving in our time-dependent simulations. Our basic hypothesis is that iceberg break off is associated with abrupt crack propagation along elongated anomalies of the inherent stress field of the ice body. This new concept yields glaciologically plausible results and represents an auspicious basis for the development of a thorough calving criterion. Experiments under different climatic conditions (ocean warming of 0.2 and 0.5 degreesC and doubled surface accumulation rates) show the coupled model system to be sensitive especially to ocean warming. Increased basal melt rates of 100% for the 0.5 degreesC ocean warming scenario and an asymmetric development of ice shelf thicknesses suggest a high vulnerability of ice shelf regions, which represent pivotal areas between the Antarctic Ice Sheet and the Southern Ocean. (C) 2004 Elsevier B.V. All rights reserved.</t>
  </si>
  <si>
    <t>Univ Bremen, Dept Geosci, MARUM, D-28334 Bremen, Germany; Alfred Wegener Inst Polar &amp; Marine Res, D-27570 Bremerhaven, Germany</t>
  </si>
  <si>
    <t>University of Bremen; Helmholtz Association; Alfred Wegener Institute, Helmholtz Centre for Polar &amp; Marine Research</t>
  </si>
  <si>
    <t>Grosfeld, K (corresponding author), Univ Bremen, Dept Geosci, MARUM, POB 330 440, D-28334 Bremen, Germany.</t>
  </si>
  <si>
    <t>grosfeld@palmod.uni-bremen.de; hsandhaeger@awi-bremerhaven.de</t>
  </si>
  <si>
    <t>Grosfeld, Klaus/0000-0001-5936-179X</t>
  </si>
  <si>
    <t>10.1016/j.gloplacha.2003.11.004</t>
  </si>
  <si>
    <t>WOS:000223234800008</t>
  </si>
  <si>
    <t>Rémy, F; Legrésy, B</t>
  </si>
  <si>
    <t>Antarctic ice sheet shape response to changes in outlet flow boundary conditions</t>
  </si>
  <si>
    <t>Antarctic ice sheet; stochastic perturbation; global sea level change</t>
  </si>
  <si>
    <t>EAST ANTARCTICA; GLACIERS; BALANCE</t>
  </si>
  <si>
    <t>This paper investigates the response of the Antarctic ice sheet shape and volume to changes in outlet flow boundary conditions. We model the transmission of outlet flow boundary perturbations toward the inland ice sheet by taking into account the dynamical properties of the profile. We investigate the effect of outlet perturbations according to their time scales. We derive the analytical relation between the temporal wavelength of the perturbations and the induced wavelength of surface undulations. We show that the inland undulation wavelength and transmission increase with the temporal wavelength of the perturbation, so that the short time scale perturbations are strongly filtered. For a given outlet perturbation, the induced frequency depends on the distance to the coast and on the dynamical characteristics of the profile, so that two adjacent flow lines may have different signals. Because outlet perturbations are poorly quantified, it is difficult to predict their impact on sea level change. However, the impact seems to be smaller than that induced by other random processes, such as accumulation rate fluctuations. Finally, an analysis of the ice sheet topography anomalies suggests that in some places, the actual response to a past outlet perturbation can be suspected. (C) 2004 Elsevier B.V. All rights reserved.</t>
  </si>
  <si>
    <t>CNRS, CNES, UPS, LEGOS, F-31055 Toulouse, France</t>
  </si>
  <si>
    <t>Universite de Toulouse; Universite Toulouse III - Paul Sabatier; Centre National de la Recherche Scientifique (CNRS); Institut de Recherche pour le Developpement (IRD); Laboratoire d'Etudes en Geophysique et oceanographie spatiales</t>
  </si>
  <si>
    <t>Rémy, F (corresponding author), CNRS, CNES, UPS, LEGOS, 18 Av E Belin, F-31055 Toulouse, France.</t>
  </si>
  <si>
    <t>frederique.remy@cnes.fr</t>
  </si>
  <si>
    <t>legresy, benoit/K-6673-2018</t>
  </si>
  <si>
    <t>legresy, benoit/0000-0002-1909-1630</t>
  </si>
  <si>
    <t>10.1016/j.gloplacha.2003.11.005</t>
  </si>
  <si>
    <t>WOS:000223234800009</t>
  </si>
  <si>
    <t>Anderson, BM; Hindmarsh, RCA; Lawson, WJ</t>
  </si>
  <si>
    <t>A modelling study of the response of Hatherton Glacier to Ross Ice Sheet grounding line retreat</t>
  </si>
  <si>
    <t>Hatherton Glacier; Ross Ice Sheet; grounding line</t>
  </si>
  <si>
    <t>RECONSTRUCTION; ANTARCTICA; SIMULATION; LENGTH</t>
  </si>
  <si>
    <t>The late Holocene retreat of the West Antarctic ice sheet is crucial information for assessing its current dynamics. However, data from this period for parts of the ice sheet where significant change has taken place, mainly the Ross Sea, are very sparse. Some significant dated deposits are from lakes dammed by valley glaciers, themselves dammed by the Ross Ice Sheet. The least age of these deposits is somewhat later than the retreat of the Ross Ice Sheet from the locality on account of the lagged response of the glacier. We present a model of the Hatherton Glacier, which examines its relationship to the Ross ice sheet, using dated margin data from ice-dammed lakes. Problems in modelling are the coupling with the Darwin Glacier, the unknown bed topography and the poorly known surface mass balance, which include blue ice areas. We infer the bed topography by tuning a valley glacier model, and use this model to (i) estimate the thickness of the Last Glacial Maximum (LGM) Ross Ice Sheet; and (ii) estimate the response time of the Hatherton Glacier to changes in the Ross Sea ice sheet. The best fit of the glacier surface profile to the geological data occur if the LGM Ross Ice Sheet elevation is assumed to be 800 m higher than the present-day ice shelf surface. If the decay of the Ross Ice sheet is linear with time, the response time is of the order of several centuries. Step changes in the elevation of the Ross Ice Sheet lead to a response time around one thousand years. The dated deposits in the Hatherton Valley cannot be used directly as dates of Ross Ice Sheet grounding line retreat. (C) 2004 Elsevier B.V. All rights reserved.</t>
  </si>
  <si>
    <t>British Antarctic Survey, NERC, Div Phys Sci, Cambridge CB3 0ET, England; Univ Canterbury, Dept Geog, Christchurch 1, New Zealand</t>
  </si>
  <si>
    <t>UK Research &amp; Innovation (UKRI); Natural Environment Research Council (NERC); NERC British Antarctic Survey; University of Canterbury</t>
  </si>
  <si>
    <t>British Antarctic Survey, NERC, Div Phys Sci, Madingley Rd, Cambridge CB3 0ET, England.</t>
  </si>
  <si>
    <t>rcah@bas.ac.uk</t>
  </si>
  <si>
    <t>Hindmarsh, Richard/N-1195-2019</t>
  </si>
  <si>
    <t>Hindmarsh, Richard/0000-0003-1633-2416</t>
  </si>
  <si>
    <t>10.1016/j.gloplacha.2003.11.006</t>
  </si>
  <si>
    <t>WOS:000223234800010</t>
  </si>
  <si>
    <t>Morelli, A; Danesi, S</t>
  </si>
  <si>
    <t>Seismological imaging of the Antarctic continental lithosphere: a review</t>
  </si>
  <si>
    <t>seismic tomography; lithosphere; tectosphere; surface waves; precambrian cratons; continental roots</t>
  </si>
  <si>
    <t>SURFACE-WAVE TOMOGRAPHY; UPPER-MANTLE STRUCTURE; RIFT SYSTEM; TRANSANTARCTIC MOUNTAINS; SURROUNDING OCEANS; VELOCITY STRUCTURE; DEEP-STRUCTURE; BENEATH; ANISOTROPY; INVERSION</t>
  </si>
  <si>
    <t>Tomographic analysis of seismic surface waves can map upper mantle structure under the Antarctic plate with reliability and fairly good detail, making the best use of the relatively limited dataset currently available. The large-scale features of Antarctic upper mantle agree with global views of Earth structure under oceans and continents. Low seismic velocities map the hot thermal anomaly under mid-ocean ridges down to approximately 150 km, stronger and wider under faster-spreading ridges. Cold continental roots show as seismically fast material under the older part of the continent (East), while the West Antarctic Rift System has a clearly slow wave signature. The seismically imaged lithosphere has variable thickness under the craton. It appears rather regular and about 220 km thick under Dronning Maud Land, but it deepens in the region stretching below Enderby Land, Gamburtsev Mountains, to Wilkes Land, where it reaches its maximum thickness, in excess of 250 km. This variability in lithospheric thickness is analogous to what has been found under other continents. The high velocity anomaly imaging cratonic roots appears to spread out, as a cool halo, off the passive continental margins, but terminates sharply towards the West Antarctic Rift System. The fast/slow contact runs under the Transantarctic Mountains and it is particularly sharp in the Ross Embayment, where seismically slow material, imaged down to 250 km, can be interpreted as the deep-seated hot anomaly related to a mantle plume. (C) 2004 Elsevier B.V. All rights reserved.</t>
  </si>
  <si>
    <t>Ist Nazl Geofis &amp; Vulcanol, I-00143 Rome, Italy</t>
  </si>
  <si>
    <t>Istituto Nazionale Geofisica e Vulcanologia (INGV)</t>
  </si>
  <si>
    <t>morelli@ingv.it</t>
  </si>
  <si>
    <t>morelli, andrea/F-2486-2016; Danesi, Stefania/AAA-9000-2021</t>
  </si>
  <si>
    <t>Danesi, Stefania/0000-0002-7884-8242; Morelli, Andrea/0000-0002-7400-8676</t>
  </si>
  <si>
    <t>10.1016/j.gloplacha.2003.12.005</t>
  </si>
  <si>
    <t>WOS:000223234800011</t>
  </si>
  <si>
    <t>Anandakrishnan, S; Winberry, JP</t>
  </si>
  <si>
    <t>Antarctic subglacial sedimentary layer thickness from receiver function analysis</t>
  </si>
  <si>
    <t>Antarctica; receiver functions; sedimentary layers; ice streams</t>
  </si>
  <si>
    <t>ICE STREAM-B; UPPER-MANTLE STRUCTURE; WEST; EARTHQUAKES; VELOCITY</t>
  </si>
  <si>
    <t>A large part of the West Antarctic lee Sheet (WAIS) is on the West Antarctic rift system. The base of the ice sheet is currently below sea level, which has lead some researchers to suggest that its size, volume, and flow characteristics are particularly sensitive to climate change. Much of the ice is transported from the interior to the coast via fast-flowing glaciers and ice streams whose flow dynamics are strongly controlled by conditions at the bed. Variations in basal temperature, water content, and the distribution and lithology of sedimentary basins and crystalline basement contribute to the complexity of the observed flow environments in West Antarctica. Determining those parameters will contribute to an improved ability to model the ice sheet accurately. We report on the characteristics of sedimentary layers beneath the Antarctic using broadband seismic techniques and their association with flow of the ice sheet. (C) 2004 Elsevier B.V. All rights reserved.</t>
  </si>
  <si>
    <t>Penn State Univ, Dept Geosci, University Pk, PA 16802 USA; Penn State Univ, EMS Environm Inst,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</si>
  <si>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</si>
  <si>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sak@essc.psu.edu</t>
  </si>
  <si>
    <t>Anandakrishnan, Sridhar/JCN-5026-2023; Winberry, Paul/HLQ-2673-2023; Winberry, Paul/E-5557-2011</t>
  </si>
  <si>
    <t>10.1016/j.gloplacha.2003.10.005</t>
  </si>
  <si>
    <t>WOS:000223234800012</t>
  </si>
  <si>
    <t>Behrendt, JC; Blankenship, DD; Morse, DL; Bell, RE</t>
  </si>
  <si>
    <t>Shallow-source aeromagnetic anomalies observed over the West Antarctic Ice Sheet compared with coincident bed topography from radar ice sounding - new evidence for glacial removal of subglacially erupted late Cenozoic rift-related volcanic edifices</t>
  </si>
  <si>
    <t>aeromagnetic; radar ice sounding; ice sheets; volcanoes; rifts; erosion</t>
  </si>
  <si>
    <t>SYSTEM; PATTERNS; BENEATH</t>
  </si>
  <si>
    <t>Aeromagnetic and radar ice sounding results from the 1991-1997 Central West Antarctica (CWA) acrogeophysical survey over part of the West Antarctic Ice Sheet (WAIS) and subglacial area of the volcanically active West Antarctic rift system have enabled detailed examination of specific anomaly sources. These anomalies, previously interpreted as caused by late Cenozoic subglacial volcanic centers, are compared to newly available glacial bed-elevation data from the radar ice sounding compilation of the entire area of the aeromagnetic survey to test this hypothesis in detail. We examined about 1000 shallow-source magnetic anomalies for bedrock topographic expression. Using very conservative criteria, we found over 400 specific anomalies which correlate with bed topography directly beneath each anomaly. We interpret these anomalies as indicative of the relative abundance of volcanic anomalies having shallow magnetic sources. Of course, deeper source magnetic anomalies are present, but these have longer wavelengths, lower gradients and mostly lower amplitudes from those caused by the highly magnetic late Cenozoic volcanic centers. The great bulk of these &gt;400 (40-1200-nT) anomaly sources at the base of the ice have low bed relief (60-600 m, with about 80% &lt;200 m). We interpret this relief as an indication of residual topography after glacial removal of volcanic edifices comprising hyaloclastite, pillow breccia and other volcanic debris erupted into the moving ice during volcanism since the initiation of the WAIS &gt;10 million years ago. Eighteen of the anomalies examined, about half concentrated in the area of the WAIS divide, have high-topographic expression (as great as 400 in above sea level) and high bed relief (up to 1500 m). All of these high-topography anomaly sources at the base of the ice would isostatically rebound to elevations above sea level were the ice removed. We interpret these 18 anomaly sources as evidence of subacrial eruption of volcanoes whose topography was protected from erosion by competent volcanic flows similar to prominent volcanic peaks that are exposed above the surface of the WAIS. Further, we infer these volcanoes as possibly erupted at a time when the WAIS was absent. In contrast, at the other extreme, there are a number of shallow-source, volcanic appearing magnetic anomalies overlying the very smooth bed topography in the survey area beneath Ice Stream D (Bindshadler Ice Stream); the glacial bed probably comprises a very thin layer of unconsolidated sediments (till). Probably, the volcanic edifices here were removed at a more rapid rate because of fast glacial flow. A few of the very shallow-source volcanic anomalies overlie the ice shelf just downstream of the grounding line of Ice Stream D, suggesting a causal relationship, if the volcanism is recent. (C) 2004 Elsevier B.V. All rights reserved.</t>
  </si>
  <si>
    <t>Univ Colorado, Inst Arctic &amp; Alpine Res, Boulder, CO 80309 USA; US Geol Survey, Denver, CO 80225 USA; Univ Texas, UTIG, Austin, TX 78712 USA; Columbia Univ, LDEO, Palisades, NY 10964 USA</t>
  </si>
  <si>
    <t>University of Colorado System; University of Colorado Boulder; United States Department of the Interior; United States Geological Survey; University of Texas System; University of Texas Austin; Columbia University</t>
  </si>
  <si>
    <t>Univ Colorado, Inst Arctic &amp; Alpine Res, Boulder, CO 80309 USA.</t>
  </si>
  <si>
    <t>behrendj@colorado.edu</t>
  </si>
  <si>
    <t>Blankenship, Donald D./G-5935-2010</t>
  </si>
  <si>
    <t>10.1016/j.gloplacha.2003.10.006</t>
  </si>
  <si>
    <t>WOS:000223234800013</t>
  </si>
  <si>
    <t>Castellano, E; Becagli, S; Jouzel, J; Migliori, A; Severi, M; Steffensen, JP; Traversi, R; Udisti, R</t>
  </si>
  <si>
    <t>Volcanic eruption frequency over the last 45 ky as recorded in Epica-Dome C ice core (East Antarctica) and its relationship with climatic changes</t>
  </si>
  <si>
    <t>paleovolcanism; ice cores; climatic change; Antarctica</t>
  </si>
  <si>
    <t>EXPLOSIVE VOLCANISM; VARIABILITY; SULFATE; SULFUR</t>
  </si>
  <si>
    <t>The sulphate glacio-chemical profiles constitute a reliable proxy marker for reconstruction of past volcanic history, assuming a reliable method to distinguish sulphate spikes and to evaluate the flux of individual events is set up. The resulting volcanic event profile is used to reconstruct past event frequencies, and to investigate possible links between volcanism and climatic changes. Volcanic event signatures are useful also in comparing time scales from ice cores drilled at different locations. In this paper, a new method to pick out volcanic signals is proposed. It improves on methods based on the calculation of a threshold using a general mean value plus a multiple of the standard deviation by adding: (1) quantification of nonvolcanic sulphate contributions; (2) sulphate fluxes, instead of concentrations, accounting for accumulation rate changes; (3) data treatment using a log-normal statistic, instead of a Gaussian-type distribution, to take into account the real sulphate distribution; (4) a smoothed curve (weighted fitting) to better understand the residual variability of the sulphate background. This method is used to detect volcanic events throughout the 45 ky time span of the EDC96 ice core, drilled at Dome C on the East Antarctic plateau. A total of 283 volcanic signatures are recovered, with a mean of 6.3 events per millennium. The temporal event frequencies indicate that the last 2000 years were probably characterized by the highest volcanic activity in the period covered by the core and that there is no clear link between number of events recorded and climatic changes. (C) 2004 Elsevier B.V. All rights reserved.</t>
  </si>
  <si>
    <t>Univ Florence, Dept Chem, I-50019 Sesto Fiorentino, FI, Italy; CEA Saclay, CNRS, UMR 1572, IPSL,Lab Sci Climat &amp; Environm, F-91191 Gif Sur Yvette, France; Univ Copenhagen, Dept Geophys, Niels Bohr Inst, DK-2100 Copenhagen, Denmark</t>
  </si>
  <si>
    <t>University of Florence; Universite Paris Saclay; Universite Paris Cite; CEA; Centre National de la Recherche Scientifique (CNRS); University of Copenhagen; Niels Bohr Institute</t>
  </si>
  <si>
    <t>Univ Florence, Dept Chem, Via Lastruccia,3, I-50019 Sesto Fiorentino, FI, Italy.</t>
  </si>
  <si>
    <t>udisti@unifi.it</t>
  </si>
  <si>
    <t>Udisti, Roberto/M-7966-2015; Steffensen, Jorgen Peder/JFS-7831-2023; Becagli, Silvia/GNW-2665-2022; Traversi, Rita/M-7586-2015; Severi, Mirko/J-2508-2012</t>
  </si>
  <si>
    <t>Udisti, Roberto/0000-0003-4440-8238; Steffensen, Jorgen Peder/0000-0002-5516-1093; Traversi, Rita/0000-0002-9790-2195; Becagli, Silvia/0000-0003-3633-4849; Severi, Mirko/0000-0003-1511-6762</t>
  </si>
  <si>
    <t>10.1016/j.gloplacha.2003.11.007</t>
  </si>
  <si>
    <t>WOS:000223234800014</t>
  </si>
  <si>
    <t>Paulsen, T; Wilson, TJ</t>
  </si>
  <si>
    <t>Subglacial bedrock structure in the Transantarctic Mountains and its influence on ice sheet flow: insights from RADARSAT SAR imagery</t>
  </si>
  <si>
    <t>Antarctica; RADARSAT; subglacial structure; lineaments</t>
  </si>
  <si>
    <t>SOUTHERN VICTORIA-LAND; ROSS SEA REGION; RIFT FLANK; ANTARCTICA; UPLIFT; DENUDATION; EXTENSION</t>
  </si>
  <si>
    <t>The Transantarctic Mountains represent a major Cenozoic rift-flank uplift that crosses the interior of Antarctica. On one side of the mountains lies the Ross embayment, a submarine portion of the West Antarctic rift system. The East Antarctic Ice Sheet overlies the cratonic margin of the mountains. The Transamarctic Mountains restrict flow of the ice sheet to lower elevations within the Ross embayment. Using RADARSAT imagery, radio-echo sounding data and field-based structural data, we demonstrate that RADARSAT imagery can be used for regional structural mapping of the Transantarctic Mountains and, in particular, that bedrock structures can be traced subglacially beneath the ice-covered mountain flanks. Our analysis shows that regional structures in the mountains have provided preferred pathways for ice flow from the East Antarctic Ice Sheet across the Transantarctic Mountains barrier to the Ross embayment in West Antarctica. Further regional mapping using RADARSAT imagery has the potential to delineate the regional structural architecture of the Transantarctic Mountains and to establish the degree of spatial coupling between structures associated with mountain uplift and regional drainage patterns of the Antarctic ice sheets. (C) 2004 Elsevier B.V. All rights reserved.</t>
  </si>
  <si>
    <t>Univ Wisconsin, Dept Geol, Oshkosh, WI 54901 USA; Ohio State Univ, Byrd Polar Res Ctr, Columbus, OH 43210 USA; Ohio State Univ, Dept Geol Sci, Columbus, OH 43210 USA</t>
  </si>
  <si>
    <t>University of Wisconsin System; University System of Ohio; Ohio State University; University System of Ohio; Ohio State University</t>
  </si>
  <si>
    <t>Paulsen, T (corresponding author), Univ Wisconsin, Dept Geol, 800 Algoma Blvd, Oshkosh, WI 54901 USA.</t>
  </si>
  <si>
    <t>paulsen@uwosh.edu</t>
  </si>
  <si>
    <t>10.1016/j.gloplacha.2003.12.004</t>
  </si>
  <si>
    <t>WOS:000223234800016</t>
  </si>
  <si>
    <t>Parizek, BR; Alley, RB</t>
  </si>
  <si>
    <t>Ice thickness and isostatic imbalances in the Ross Embayment, West Antarctica: model results</t>
  </si>
  <si>
    <t>West Antarctic Ice Sheet; isostasy; numerical models; finite element analysis</t>
  </si>
  <si>
    <t>GROUNDING-LINE RETREAT; UPPER-MANTLE; STREAM B; GREENLAND; VISCOSITY; BENEATH; CRUSTAL; DEFORMATION; EVOLUTION; PATTERNS</t>
  </si>
  <si>
    <t>Thermomechanical flowline simulations indicate that the Siple Coast ice streams of West Antarctica have experienced only small deglacial thickness changes, are thinning more rapidly than their beds are rising isostatically, and can continue to retreat. Thickness changes of 0(100)m are modelled at the modem grounding line through the last glacial cycle. The accumulation-rate increase accompanying warming out of the last glacial maximum (LGM) leads to a maximum simulated thickness change at the modem grounding line approximately 8 ka. Idealized isostatic simulations support coupling the ice-sheet model to an underlying elastic-lithosphere and relaxed-asthenosphere bedrock model. Dynamic interactions between ice and bedrock over the last glacial cycle indicate that isostatic rebound is raising the ice sheet at the modem grounding line faster than the rising sea level is submerging it. While, in and of itself, this could potentially lead to a grounding-line re-advance, ice flow is modelled to respond to recent changes in temperature, accumulation rate, and basal processes more rapidly than it does to bedrock-elevation and/or sea-level fluctuations. Previous results based on thermal controls on ice-stream behavior [Parizek et al., 2002: Geophysical Research Letters 29 (2002); Parizek et al., 2003: Annals of Glaciology 36 (2003) 251] support the view that thinning of the ice streams at the retreating grounding line will likely continue. While results indicate an additional few tens of meters of rebound remaining, land- and air-based observations will help constrain this magnitude with potential implications for uncovering past ice-loading history and future ice-sheet stability. (C) 2004 Published by Elsevier B.V.</t>
  </si>
  <si>
    <t>parizek@esse.psu.edu; ralley@essc.psu.edu</t>
  </si>
  <si>
    <t>10.1016/j.gloplacha.2003.09.005</t>
  </si>
  <si>
    <t>WOS:000223234800018</t>
  </si>
  <si>
    <t>Raymond, CA; Ivins, ER; Heflin, MB; James, TS</t>
  </si>
  <si>
    <t>Quasi-continuous global positioning system measurements of glacial isostatic deformation in the Northern Transantarctic Mountains</t>
  </si>
  <si>
    <t>global positioning system; Antarctic glacial isostasy; mantle viscosity; Transantarctic Mountains; crustal motion; autonomous observatories</t>
  </si>
  <si>
    <t>ICE-SHEET; MASS-BALANCE; PREDICTIONS; ANTARCTICA</t>
  </si>
  <si>
    <t>Global positioning system (GPS) measurements have been collected quasi-continuously between November 1996 and January 2001 at two autonomous GPS stations in the Northern Transantarctic Mountains. High-quality data from the two sites at Mt. Coates in the Dry Valleys and Mt. Cocks in the Royal Society Range have resolved significant horizontal motions. The vertical rate at Mt. Coates indicates an uplift of 4.5 +/- 2.3 mm/year, most likely due to glacial isostatic motion. Uplift at Mt. Coates deviates significantly from uplift predictions based on deglaciation models ICE-3G and ICE-4G, but is consistent with a model (D91-1.5) in which deglaciation persists up to the late Holocene. Crown Copyright (C) 2004 Published by Elsevier B.V. All rights reserved.</t>
  </si>
  <si>
    <t>CALTECH, Jet Prop Lab, Pasadena, CA 91109 USA; Geol Survey Canada, Pacific Geosci Ctr, Sidney, BC V8L 4B2, Canada</t>
  </si>
  <si>
    <t>California Institute of Technology; National Aeronautics &amp; Space Administration (NASA); NASA Jet Propulsion Laboratory (JPL); Natural Resources Canada; Lands &amp; Minerals Sector - Natural Resources Canada; Geological Survey of Canada</t>
  </si>
  <si>
    <t>CALTECH, Jet Prop Lab, 4800 Oak Grove Dr, Pasadena, CA 91109 USA.</t>
  </si>
  <si>
    <t>carol.raymond@jpl.nasa.gov</t>
  </si>
  <si>
    <t>Ivins, Erik R/C-2416-2011; James, Thomas/D-9301-2013</t>
  </si>
  <si>
    <t>James, Thomas/0000-0001-7321-047X</t>
  </si>
  <si>
    <t>10.1016/j.gloplacha.2003.11.013</t>
  </si>
  <si>
    <t>WOS:000223234800020</t>
  </si>
  <si>
    <t>Donnellan, A; Luyendyk, BP</t>
  </si>
  <si>
    <t>GPS evidence for a coherent Antarctic plate and for postglacial rebound in Marie Byrd Land</t>
  </si>
  <si>
    <t>Antarctica; GPS; postglacial rebound; tectonics</t>
  </si>
  <si>
    <t>WEST ANTARCTICA; ICE-SHEET; ROSS SEA; MOTION; RIFT; DEGLACIATION; PREDICTIONS; UPLIFT</t>
  </si>
  <si>
    <t>GPS measurements collected between 1999 and 2002 in Marie Byrd Land, West Antarctica indicate no significant present motion between East and West Antarctica greater than 1-2 mm/year. Low strain rates imply that the Ross Sea rift is either inactive or active at a very low rate. This result indicates that the two subcontinents are likely joined as a single coherent lithospheric plate. They could have been joined since the end of Adare Trough spreading in Oligocene time. The volcanic activity in the Ross Sea sector at present such as at Mount Erebus is most likely related to mantle upwelling and not associated with continental rifting. GPS measurements of vertical rates indicate postglacial rebound of up to 12 4 mm/year in western Marie Byrd Land (wMBL). Errors are scaled 1sigma. The rock uplift rates are consistent with postglacial rebound models of significant ice thinning in the easter, Ross Ice Shelf in the late Holocene. (C) 2004 Elsevier B.V. All rights reserved.</t>
  </si>
  <si>
    <t>CALTECH, Jet Prop Lab, Pasadena, CA 91109 USA; Univ Calif Santa Barbara, Dept Geol Sci, Santa Barbara, CA 93106 USA</t>
  </si>
  <si>
    <t>California Institute of Technology; National Aeronautics &amp; Space Administration (NASA); NASA Jet Propulsion Laboratory (JPL); University of California System; University of California Santa Barbara</t>
  </si>
  <si>
    <t>Donnellan, A (corresponding author), CALTECH, Jet Prop Lab, 4800 Oak Grove Dr,Mail Stop 183-335, Pasadena, CA 91109 USA.</t>
  </si>
  <si>
    <t>Andrea.Donnellan@jpl.nasa.gov; luyendyk@geol.ucsb.edu</t>
  </si>
  <si>
    <t>Donnellan, Andrea/AAB-4367-2020</t>
  </si>
  <si>
    <t>Donnellan, Andrea/0000-0001-6843-8373</t>
  </si>
  <si>
    <t>10.1016/j.gloplacha.2004.02.006</t>
  </si>
  <si>
    <t>WOS:000223234800021</t>
  </si>
  <si>
    <t>Dietrich, R; Rülke, A; Ihde, J; Lindner, K; Miller, H; Niemeier, W; Schenke, HW; Seeber, G</t>
  </si>
  <si>
    <t>Plate kinematics and deformation status of the Antarctic Peninsula based on GPS</t>
  </si>
  <si>
    <t>GPS; ITRF; Antarctica; Antarctic Peninsula; plate kinematics</t>
  </si>
  <si>
    <t>THICKNESS; EVOLUTION; BREAKUP</t>
  </si>
  <si>
    <t>Antarctic GPS data from more than 20 stations were reanalyzed using the Bernese GPS Software, version 4.2, to provide a regional densification solution for the International Terrestrial Reference Frame (ITR-F) 2000. In addition to the ITRF Antarctic results, two regional solutions with different strategies of the geodetic datum realization are analyzed. The analyses indicate that relative motion between the Antarctic Peninsula and East Antarctica is no larger than 1-2 mm/year, confirming reconstructions suggesting minimal amounts of relative motion between East and West Antarctica in recent geological time. The residual deformation signals are relatively small and provide constraints on models of postglacial rebound. They amount to 1-2 mm/ year in the horizontal. Uplift rates are much less precisely determined, but uplift of nearly 10 mm/year in the Northern Antarctic Peninsula is probably significant. Uplift rates elsewhere in the Antarctic Peninsula are smaller. (C) 2004 Published by Elsevier B.V.</t>
  </si>
  <si>
    <t>Tech Univ Dresden, Inst Planetare Geodasie, D-8027 Dresden, Germany; Aussenstelle Leipzig, Bundesamt Kartographia &amp; Geodasie, Leipzig, Germany; Univ Karlsruhe, Geodat Inst, Karlsruhe, Germany; Univ Munich, Inst Allgemeine &amp; Angew Geol, Munich, Germany; Tech Univ Munich, Inst Geodasie &amp; Photogrammetrie, D-8000 Munich, Germany; Alfred Wegener Inst Polar &amp; Marine Res, Bremerhaven, Germany; Leibniz Univ Hannover, Inst Erdmessung, Hannover, Germany</t>
  </si>
  <si>
    <t>Technische Universitat Dresden; Helmholtz Association; Karlsruhe Institute of Technology; University of Munich; Technical University of Munich; Helmholtz Association; Alfred Wegener Institute, Helmholtz Centre for Polar &amp; Marine Research; Leibniz University Hannover</t>
  </si>
  <si>
    <t>Tech Univ Dresden, Inst Planetare Geodasie, D-8027 Dresden, Germany.</t>
  </si>
  <si>
    <t>dietrich@IPG.geo.tu-dresden.de</t>
  </si>
  <si>
    <t>Miller, Heinrich/0000-0003-1015-2828</t>
  </si>
  <si>
    <t>10.1016/j.gloplacha.2003.12.003</t>
  </si>
  <si>
    <t>WOS:000223234800022</t>
  </si>
  <si>
    <t>Robinson, CH; Saunders, PW; Madan, NJ; Pryce-Miller, EJ; Pentecost, A</t>
  </si>
  <si>
    <t>Does nitrogen deposition affect soil microfungal diversity and soil N and P dynamics in a high Arctic ecosystem?</t>
  </si>
  <si>
    <t>fungi; high Arctic; N deposition; P deficiency; polar semidesert; soil N saturation</t>
  </si>
  <si>
    <t>TREE LEAF-LITTER; FUNGAL DECOMPOSITION; DRYAS-OCTOPETALA; POLAR SEMIDESERT; COMMUNITY CHANGE; SULFUR-DIOXIDE; GRADIENT; PHOTOSYNTHESIS; MINERALIZATION; FERTILIZATION</t>
  </si>
  <si>
    <t>In a high Arctic polar semidesert ecosystem (ambient N deposition c. 0.1 g N m(-2) a(-1)), the effects of N enrichment on the diversity of soil microfungi and on N content and availability in organic and mineral soils were determined. Three N (total: 0, 0.5, 5 g N m(-2) a(-1)) and two P (total 0, 1 g m(-2) a(-1)) treatments were applied, since P may limit response to N in this ecosystem. Organic and mineral soils were sampled in June and August in the second year of treatment for microfungi, pH, moisture content, and total N and P. In the third year, soils were resampled for extractable and total N and P. The fungi isolated were typical of high pH soils in the High Arctic and Antarctic. The species richness and diversity of soil microfungi were very low, with ranges as follows: Shannon diversity, 0.56-1.5; richness, 2-6; evenness, 0.79-0.9. There was no significant effect of treatment on the frequency of occurrence of different taxa of soil microfungi. Time of sampling also had no significant impact on fungal assemblages, although different, more diverse communities were isolated from organic, rather than mineral, soils. Nitrate-N in organic soil decreased significantly when P was added alone, but not when P and N were added together. Addition of 0.5 g N m(-2) a(-1), a rate deposition already occurring in Greenland and Iceland, appeared to exceed N demand even when P limitation was relieved. There was no apparent soil acidification as a result of the N treatments.</t>
  </si>
  <si>
    <t>Kings Coll London, Dept Life Sci, London SE1 9NN, England</t>
  </si>
  <si>
    <t>University of London; King's College London</t>
  </si>
  <si>
    <t>Kings Coll London, Dept Life Sci, Franklin Wilkins Bldg,150 Stamford St, London SE1 9NN, England.</t>
  </si>
  <si>
    <t>clare.robinson@kcl.ac.uk</t>
  </si>
  <si>
    <t>1365-2486</t>
  </si>
  <si>
    <t>10.1111/j.1529-8817.2003.00793.x</t>
  </si>
  <si>
    <t>831PH</t>
  </si>
  <si>
    <t>WOS:000222206300003</t>
  </si>
  <si>
    <t>Parnell, J; Lee, P; Cockell, CS; Osinski, GR</t>
  </si>
  <si>
    <t>Parnell, J.; Lee, P.; Cockell, C. S.; Osinski, G. R.</t>
  </si>
  <si>
    <t>Microbial colonization in impact-generated hydrothermal sulphate deposits, Haughton impact structure, and implications for sulphates on Mars</t>
  </si>
  <si>
    <t>INTERNATIONAL JOURNAL OF ASTROBIOLOGY</t>
  </si>
  <si>
    <t>cyanobacteria; endoliths; gypsum; Haughton impact structure; impact craters; life on Mars; sulphates</t>
  </si>
  <si>
    <t>RAMAN-SPECTROSCOPY; DEVON ISLAND; CRATER; LIGHT; MICROORGANISMS; ASSEMBLAGES; SULFUR; ORIGIN; DESERT; RECORD</t>
  </si>
  <si>
    <t>Hydrothermal gypsum deposits in the Haughton impact structure, Devon Island, Canada, contain microbial communities in an endolithic habitat within individual gypsum crystals. Cyanobacterial colonies occur as masses along cleavage planes, up to 5 cm from crystal margins. The crystals are transparent, so allow transmission of light for photosynthesis, while affording protection from dehydration and wind. The colonies appear to have modified their mineral host to provide additional space as they expanded. The colonies are black due to UV-screening pigments. The relative ease with which microbial colonization may be detected and identified in impact-generated sulphate deposits at Haughton suggests that analogous settings on other planets might merit future searches for biosignatures. The proven occurrence of sulphates on the Martian surface suggests that sulphate minerals should be a priority target in the search for life on Mars. Received 12 May 2004, accepted 7 July 2004</t>
  </si>
  <si>
    <t>[Parnell, J.] Univ Aberdeen, Dept Geol, Aberdeen AB24 3UE, Scotland; [Lee, P.] SETI Inst, Mars Inst, Moffett Field, CA 94035 USA; [Lee, P.] NASA, Ames Res Ctr, Moffett Field, CA 94035 USA; [Cockell, C. S.] British Antarctic Survey, Cambridge CB3 0ET, England; [Osinski, G. R.] Univ Arizona, Dept Planetary Sci, Tucson, AZ 85721 USA</t>
  </si>
  <si>
    <t>University of Aberdeen; National Aeronautics &amp; Space Administration (NASA); NASA Ames Research Center; UK Research &amp; Innovation (UKRI); Natural Environment Research Council (NERC); NERC British Antarctic Survey; University of Arizona</t>
  </si>
  <si>
    <t>Parnell, J (corresponding author), Univ Aberdeen, Dept Geol, Aberdeen AB24 3UE, Scotland.</t>
  </si>
  <si>
    <t>J.Parnell@abdn.ac.uk</t>
  </si>
  <si>
    <t>NASA; NSERC</t>
  </si>
  <si>
    <t>NASA(National Aeronautics &amp; Space Administration (NASA)); NSERC(Natural Sciences and Engineering Research Council of Canada (NSERC))</t>
  </si>
  <si>
    <t>We are grateful to the sponsors of the NASA Haughton-Mars Project for support of fieldwork. Anonymous reviews helped to improve the manuscript. Martin Baron is thanked for observations of fluid inclusions in the gypsum. Anne Wilkins supplied Fig. 4(d). Other essential technical support was provided by Barry Fulton and John Still. G. R. O. was funded through a NSERC grant to John Spray, University of New Brunswick.</t>
  </si>
  <si>
    <t>1473-5504</t>
  </si>
  <si>
    <t>1475-3006</t>
  </si>
  <si>
    <t>INT J ASTROBIOL</t>
  </si>
  <si>
    <t>Int. J. Astrobiol.</t>
  </si>
  <si>
    <t>10.1017/S1473550404001995</t>
  </si>
  <si>
    <t>V22OI</t>
  </si>
  <si>
    <t>WOS:000208284100007</t>
  </si>
  <si>
    <t>Schneider, C; Gies, D</t>
  </si>
  <si>
    <t>Effects of El Nino-southern oscillation on southernmost South America precipitation at 53°S revealed from NCEP-NCAR reanalyses and weather station data</t>
  </si>
  <si>
    <t>ENSO; South America; patagonia; NCEP-NCAR; precipitation; teleconnections; correlation</t>
  </si>
  <si>
    <t>SEA-SURFACE TEMPERATURE; ANTARCTIC CIRCUMPOLAR WAVE; LOW-FREQUENCY VARIABILITY; HEMISPHERE CIRCULATION; RAINFALL VARIABILITY; GENERAL-CIRCULATION; CLIMATE VARIABILITY; PRINCIPAL MODES; HIGH-LATITUDES; ANDEAN REGION</t>
  </si>
  <si>
    <t>Monthly mean records of climate data over southern South America from the National Centers for Environmental Prediction (NCEP)-National Center for Atmospheric Research (NCAR) reanalysis project (NNR) were processed to determine possible teleconnections of El Ni (n) over tildeo-southern oscillation with precipitation at 53degreesS in the southernmost Andes. The NNR data used include precipitation rate, zonal wind speed and sea-level pressure (SLP). All data were correlated to the southern oscillation index (SOI) allowing for time leads/time lags of up to 8 months. Significant positive correlation at the 99% level between SOI and SLP is obtained north of 40degreesS (r = 0.4). SLP south of 58degreesS negatively correlates with SOI (r = -0.3). In consequence, during El Ni (n) over tildeo events the SLP gradient over Patagonia decreases, leading to lower wind speeds. Precipitation on the west coast of Patagonia depends greatly on the strength of the west winds due to orographically induced precipitation. According to this, positive correlation (r = 0.4) between SOI and precipitation rate anomalies is found west of the Patagonian coastline between 45 and 55degreesS based on annually averaged data. Precipitation decreases by about 15% during strong El Ni (n) over tilde os. The correlation decreases to insignificant values east of the Andes mountain range. Correlation between SLP gradient and SOI along the west coast of southern Patagonia is largest from austral spring to summer in year 0 of an El Ni (n) over tildeo event and in April of year +1. Correlations are particularly strong at a time lag of +1 and +2 months, with SOI leading the SLP gradient. Correlation was found to vary in time, with weak correlations during the 1970s and early 1980s and enhancing teleconnection towards the turn of the century. The generally weak positive correlation between precipitation and SOI was also found by comparing precipitation data from weather stations at 53degreesS on the west coast of South America with SOI. Copyright (C) 2004 Royal Meteorological Society.</t>
  </si>
  <si>
    <t>Univ Freiburg, Inst Phys Geog, D-79085 Freiburg, Germany</t>
  </si>
  <si>
    <t>University of Freiburg</t>
  </si>
  <si>
    <t>Schneider, C (corresponding author), Univ Freiburg, Inst Phys Geog, Werderring 4, D-79085 Freiburg, Germany.</t>
  </si>
  <si>
    <t>christoph.schneider@geographie.uni-freiburg.de</t>
  </si>
  <si>
    <t>Schneider, Christoph/V-2150-2017</t>
  </si>
  <si>
    <t>Schneider, Christoph/0000-0002-9914-3217</t>
  </si>
  <si>
    <t>10.1002/joc.1057</t>
  </si>
  <si>
    <t>840VA</t>
  </si>
  <si>
    <t>WOS:000222886800001</t>
  </si>
  <si>
    <t>Logan, NA; De Clerck, E; Lebbe, L; Verhelst, A; Goris, J; Forsyth, G; Rodríguez-Díaz, M; Heyndrickx, M; De Vos, P</t>
  </si>
  <si>
    <t>Paenibacillus cineris sp nov and Paenibacillus cookii sp nov., from Antarctic volcanic soils and a gelatin-processing plant</t>
  </si>
  <si>
    <t>SOUTH SANDWICH ARCHIPELAGO; CANDLEMAS ISLAND; BACILLUS</t>
  </si>
  <si>
    <t>Seven strains of aerobic, endospore-forming bacteria were found in soil taken from an active fumarole on Lucifer Hill, Candlemas Island, South Sandwich archipelago, Antarctica, and four strains were from soil of an inactive fumarole at the foot of the hill. Amplified rDNA restriction analysis, 16S rDNA sequence comparisons, SDS-PAGE and routine phenotypic tests support the proposal of two novel species of Paenibacillus, Paenibacillus cineris sp. nov. and Paenibacillus cookii sp. nov., the type strains of which are LMG 18439(T) (= CIP 108109(T)) and LMG 18419(T) (= CIP 108110(T)), respectively. A further strain, isolated from a gelatin-production process, showed more than 99% 16S rDNA sequence similarity to the proposed P. cookii type strain and, although the gelatin isolate was atypical when compared with the fumarole isolates by repeated element primed-l SDS-PAGE and phenotypic analyses, it was shown by DNA-DNA reassociation studies to belong to the same species. Strains of P. cookii produce spreading growth with motile microcolonies. Both species produce swollen sporangia that are typical for the genus, they both show 97.6% 16S rDNA sequence similarity to Paenibacillus azoreducens, they have 51.5-51.6 mol% G + C in their DNA and their major fatty acid is anteiso-C-15:0; however, fatty acids C-16:0 and anteiso-C-17:0 represent, respectively, 18 and 10% of the total in P. cineris, but 11 and 20% in P. cookii.</t>
  </si>
  <si>
    <t>Glasgow Caledonian Univ, Sch Biol &amp; Biomed Sci, Glasgow G4 0BA, Lanark, Scotland; State Univ Ghent, Microbiol Lab, Vakgroep BFM WE 10V, B-9000 Ghent, Belgium</t>
  </si>
  <si>
    <t>Glasgow Caledonian University; Ghent University</t>
  </si>
  <si>
    <t>Logan, NA (corresponding author), Glasgow Caledonian Univ, Sch Biol &amp; Biomed Sci, Cowcaddens Rd, Glasgow G4 0BA, Lanark, Scotland.</t>
  </si>
  <si>
    <t>n.a.logan@gcal.ac.uk</t>
  </si>
  <si>
    <t>De Vos, Paul/J-5392-2013; De Vos, Paul/JAX-4025-2023</t>
  </si>
  <si>
    <t>Heyndrickx, Marc/0000-0002-2913-2686; Halket, Gillian/0000-0002-0448-1951</t>
  </si>
  <si>
    <t>10.1099/ijs.0.02967-0</t>
  </si>
  <si>
    <t>844IO</t>
  </si>
  <si>
    <t>WOS:000223151800009</t>
  </si>
  <si>
    <t>Alteromonas stellipolaris sp nov., a novel, budding, prosthecate bacterium from Antarctic seas, and emended description of the genus Alteromonas</t>
  </si>
  <si>
    <t>DEOXYRIBONUCLEIC-ACID; DNA; HYPERSALINE; SEQUENCES</t>
  </si>
  <si>
    <t>Seven novel, cold-adapted, strictly aerobic, facultatively oligotrophic strains, isolated from Antarctic sea water, were investigated by using a polyphasic taxonomic approach. The isolates were Gram-negative, chemoheterotrophic, motile, rod-shaped cells that were psychrotolerant and moderately halophilic. Buds were produced on mother and daughter cells and on prosthecae. Prostheca formation was peritrichous and prosthecae could be branched. Phylogenetic analysis based on 1 6S rRNA gene sequences indicated that these strains belong to the gamma-Proteobacteria and are related to the genus Alteromonas, with 98-3% sequence similarity to Alteromonas macleodii and 98.0% to Alteromonas marina, their nearest phylogenetic neighbours. Whole-cell fatty acid profiles of the isolates were very similar and included C-16:0, C(16:1)omega7c(1) C(17:1)omega(8)c and C(18:1)omega8c as the major fatty acid components. These results support the affiliation of these isolates to the genus Alteromonas. DNA-DNA hybridization results and differences in phenotypic characteristics show that the strains represent a novel species with a DNA G + C content of 43-45 mol%. The name Alteromonas stellipolaris sp. nov. is proposed for this novel species; the type strain is ANT 69a(T) (=LMG 21861(T) =DSM 15691(T)). An emended description of the genus Alteromonas is given.</t>
  </si>
  <si>
    <t>Univ Ghent, Microbiol Lab, Vakgroep Biochem Fysiol &amp; Microbiol, B-9000 Ghent, Belgium; Alfred Wegener Inst Polar &amp; Marine Res, Bremerhaven, Germany; Second Inst Oceanog, Hangzhou, Peoples R China; Univ Ghent, BCCM LMG Culture Collect, Ghent, Belgium</t>
  </si>
  <si>
    <t>Ghent University; Helmholtz Association; Alfred Wegener Institute, Helmholtz Centre for Polar &amp; Marine Research; Ministry of Natural Resources of the People's Republic of China; Second Institute of Oceanography, Ministry of Natural Resources; Ghent University</t>
  </si>
  <si>
    <t>10.1099/ijs.0.02862-0</t>
  </si>
  <si>
    <t>WOS:000223151800023</t>
  </si>
  <si>
    <t>Van Trappen, S; Mergaert, J; Swings, J</t>
  </si>
  <si>
    <t>Loktanella salsilacus gen. nov., sp nov., Loktanella fryxellensis sp nov and Loktanella vestfoldensis sp nov., new members of the Rhodobacter group, isolated from microbial mats in Antarctic lakes</t>
  </si>
  <si>
    <t>DEOXYRIBONUCLEIC-ACID; BUDDING BACTERIUM; HYPERSALINE; DNA; BACTERIOCHLOROPHYLL</t>
  </si>
  <si>
    <t>A taxonomic study was performed on 26 strains isolated from microbial mats in Antarctic lakes of the Vestfold Hills and the McMurdo Dry Valleys. Phylogenetic analysis based on 16S rRNA gene sequences placed these strains within the Rhodobacter group of the a-subclass of the Proteobacteria. Sequence similarity values for the strains with their nearest phylogenetic neighbours (Jannaschia, Octadecabacter and Ketogulonicigenium) ranged between 94-0 and 95-8%. DNA-DNA hybridizations and comparison of repetitive extragenic palindromic DNA-PCR (rep-PCR) fingerprinting patterns revealed that these strains are members of three distinct species. The isolates are Gram-negative, chemoheterotrophic, non-motile rods and their DNA G + C contents range from 59.4 to 66-4 mol%. Whole-cell fatty acid profiles are similar and the primary fatty acid in all the strains is 18 : 1 omega7c (74-1-87-7% of total). Genotypic results together with phenotypic characteristics allowed the differentiation of these species from related recognized species of the alpha-Proteobacteria and the strains are assigned to a new genus, Loktanella gen. nov., with three novel species: Loktanella salsilacus sp. nov. (type species), consisting of ten strains with LMG 21507(T) (=CIP 108322(T)) as type strain; Loktanella fryxellensis sp. nov., consisting of 12 strains with LMG 22007(T) (= CIP 108323(T)) as type strain; and Loktanella vestfoldensis sp. nov., consisting of four strains with LMG 22003(T) (= CIP 10832 1(T)) as type strain.</t>
  </si>
  <si>
    <t>Univ Ghent, Microbiol Lab, Vakgrp Biochem Fysiol Microbiol, B-9000 Ghent, Belgium</t>
  </si>
  <si>
    <t>Univ Ghent, Microbiol Lab, Vakgrp Biochem Fysiol Microbiol, KL Ledeganckstr 35, B-9000 Ghent, Belgium.</t>
  </si>
  <si>
    <t>10.1099/ijs.0.03006-0</t>
  </si>
  <si>
    <t>WOS:000223151800039</t>
  </si>
  <si>
    <t>Eliseev, AV; Guseva, MS; Mokhov, II; Rubinshtein, KG</t>
  </si>
  <si>
    <t>Amplitude-phase characteristics of the annual cycle of surface temperature: Comparison of ALCM output and reanalysis data</t>
  </si>
  <si>
    <t>AIR-TEMPERATURE; CLIMATE MODEL</t>
  </si>
  <si>
    <t>The amplitude-phase characteristics (APCs) of the annual cycle (AC) of surface air temperature (SAT) were analyzed for output of the MGO, HMC-T21, HMC-T42, INM, and HadAM3 atmospheric general circulation models run with the sea surface temperature variations recommended in the AMIP and AMIP2 projects. The characteristics computed were compared with the NCEP/NCAR and ERA reanalysis data over 1958-1998 and 1979-1993, respectively. The reanalysis data were used to detect the features of SAT AC APCs averages and their variability in various regions, including areas near the snow-ice boundary and regions affected by atmospheric centers of action. Overall, the two reanalyses were found to be similar to each other outside the high latitudes of both hemispheres. The spatial features of SAT AC APCs over land are generally reproduced by the models considered. The models with a warmer annual mean climate (compared with the reanalysis data) exhibit smaller amplitudes of annual and semiannual harmonics and (in the extratropics) later fall and spring phases of the SAT annual cycle. The models with higher (lower) long-term-averaged amplitudes of annual and semiannual harmonics are characterized by higher (lower) interannual rms deviations of these variables. The largest deviations of the simulated SAT AC APC fields from the reanalysis data are observed over the high-latitude land regions in the Northern Hemisphere and over the land and ocean in the Antarctic region. Overall, the models better reproduce the long-term-averaged SAT AC APC fields than their interannual rms deviations. In the annual-cycle characteristics analyzed, the largest differences from the reanalysis data are observed in the amplitude of the semiannual harmonic, the fall and spring phase times, and the interval of exceeding.</t>
  </si>
  <si>
    <t>Russian Acad Sci, Oboukhov Inst Atmospher Phys, Moscow 119017, Russia; Moscow MV Lomonosov State Univ, Moscow 119899, Russia; Hydrometeorol Ctr Russia, Moscow 123376, Russia</t>
  </si>
  <si>
    <t>Russian Academy of Sciences; Obukhov Institute of Atmospheric Physics of Russian Academy of Sciences; Lomonosov Moscow State University</t>
  </si>
  <si>
    <t>Russian Acad Sci, Oboukhov Inst Atmospher Phys, Pyzhevskii Per 3, Moscow 119017, Russia.</t>
  </si>
  <si>
    <t>lesha@ifaran.ru; rubin@mecom.ru</t>
  </si>
  <si>
    <t>Mokhov, Igor/U-9564-2019; Eliseev, Alexey V. V/L-8707-2013</t>
  </si>
  <si>
    <t>847KL</t>
  </si>
  <si>
    <t>WOS:000223391100001</t>
  </si>
  <si>
    <t>Green, JA; Tanton, JL; Woakes, AJ; Boyd, IL; Butler, PJ</t>
  </si>
  <si>
    <t>Effects of long-term implanted data loggers on macaroni penguins Eudyptes chrysolophus</t>
  </si>
  <si>
    <t>JOURNAL OF AVIAN BIOLOGY</t>
  </si>
  <si>
    <t>FORAGING TRIP DURATION; DIVING BEHAVIOR; SOUTH GEORGIA; KING PENGUINS; ADELIE PENGUINS; SATELLITE TRANSMITTERS; INSTRUMENT ATTACHMENT; ENERGY-REQUIREMENTS; PYGOSCELIS-ADELIAE; CHINSTRAP PENGUINS</t>
  </si>
  <si>
    <t>We tested the hypothesis that implanted data loggers have no effect on the survival, breeding success and behaviour of macaroni penguins Eudyptes chrysolophus. Seventy penguins were implanted with heart rate data loggers (DLs) for periods of up to 15 months. When compared to control groups, implanted penguins showed no significant difference in over-wintering survival rates, arrival date and mass at the beginning of the breeding season. Later in the breeding season, implanted penguins showed no significant difference in the duration of their incubation foraging trip, breeding success, fledging mass of their chicks, date of arrival to moult and mass at the beginning of the moult fast. We conclude that implanted devices had no effects on the behaviour, breeding success and survival of this species. We contrast these results to those from studies using externally attached devices, which commonly affect the behaviour of penguins. We suggest that implanted devices should be considered as an alternative to externally attached devices in order to obtain the most accurate representation of the free-ranging behaviour, ecology and physiology of penguins.</t>
  </si>
  <si>
    <t>Univ Birmingham, Sch Biosci, Birmingham B15 2TT, W Midlands, England; British Antarctic Survey, Cambridge CB3 0ET, England; Univ St Andrews, Gatty Marine Lab, Sea Mammal Res Unit, St Andrews KY16 8LB, Fife, Scotland</t>
  </si>
  <si>
    <t>University of Birmingham; UK Research &amp; Innovation (UKRI); Natural Environment Research Council (NERC); NERC British Antarctic Survey; University of St Andrews</t>
  </si>
  <si>
    <t>Green, JA (corresponding author), Univ Birmingham, Sch Biosci, Birmingham B15 2TT, W Midlands, England.</t>
  </si>
  <si>
    <t>j.a.green@bham.ac.uk</t>
  </si>
  <si>
    <t>Green, Jonathan A/B-8799-2011; Tennant, Jane/C-5226-2011; Woakes, Anthony/JYD-0387-2024</t>
  </si>
  <si>
    <t>Green, Jonathan A/0000-0001-8692-0163;</t>
  </si>
  <si>
    <t>BLACKWELL MUNKSGAARD</t>
  </si>
  <si>
    <t>COPENHAGEN</t>
  </si>
  <si>
    <t>35 NORRE SOGADE, PO BOX 2148, DK-1016 COPENHAGEN, DENMARK</t>
  </si>
  <si>
    <t>0908-8857</t>
  </si>
  <si>
    <t>J AVIAN BIOL</t>
  </si>
  <si>
    <t>J. Avian Biol.</t>
  </si>
  <si>
    <t>10.1111/j.0908-8857.2004.03281.x</t>
  </si>
  <si>
    <t>843LR</t>
  </si>
  <si>
    <t>WOS:000223085900012</t>
  </si>
  <si>
    <t>Church, JA; White, NJ; Coleman, R; Lambeck, K; Mitrovica, JX</t>
  </si>
  <si>
    <t>Estimates of the regional distribution of sea level rise over the 1950-2000 period</t>
  </si>
  <si>
    <t>GLACIAL ISOSTATIC-ADJUSTMENT; ICE SHEETS; SATELLITE; COAST</t>
  </si>
  <si>
    <t>TOPEX/Poseidon satellite altimeter data are used to estimate global empirical orthogonal functions that are then combined with historical tide gauge data to estimate monthly distributions of large-scale sea level variability and change over the period 1950-2000. The reconstruction is an attempt to narrow the current broad range of sea level rise estimates, to identify any pattern of regional sea level rise, and to determine any variation in the rate of sea level rise over the 51-yr period. The computed rate of global-averaged sea level rise from the reconstructed monthly time series is 1.8 +/- 0.3 mm yr(-1). With the decadal variability in the computed global mean sea level, it is not possible to detect a significant increase in the rate of sea level rise over the period 1950-2000. A regional pattern of sea level rise is identified. The maximum sea level rise is in the eastern off-equatorial Pacific and there is a minimum along the equator, in the western Pacific, and in the eastern Indian Ocean. A greater rate of sea level rise on the eastern North American coast compared with the United Kingdom and the Scandinavian peninsula is also found. The major sources of uncertainty are the inadequate historical distribution of tide gauges, particularly in the Southern Hemisphere, inadequate information on tide gauge signals from processes such as postglacial rebound and tectonic activity, and the short satellite altimeter record available to estimate global sea level covariance functions. The results demonstrate that tide gauge records will continue to complement satellite altimeter records for observing and understanding sea level change.</t>
  </si>
  <si>
    <t>CSIRO Marine Res, Hobart, Tas 7001, Australia; Antarctic Climate &amp; Ecosyst Cooperat Res Ctr, Hobart, Tas, Australia; Univ Tasmania, Dept Geomatics, Hobart, Tas, Australia; Australian Natl Univ, Res Sch Earth Sci, Canberra, ACT, Australia; Univ Toronto, Dept Phys, Toronto, ON, Canada</t>
  </si>
  <si>
    <t>Commonwealth Scientific &amp; Industrial Research Organisation (CSIRO); Antarctic Climate &amp; Ecosystems Cooperative Research Centre (ACE CRC); University of Tasmania; Australian National University; University of Toronto</t>
  </si>
  <si>
    <t>john.church@csiro.au</t>
  </si>
  <si>
    <t>Church, John A/A-1541-2012; White, Neil/B-2077-2013; Jiao, Liqing/A-8821-2011; Coleman, Richard/H-4425-2012</t>
  </si>
  <si>
    <t>Church, John A/0000-0002-7037-8194; Coleman, Richard/0000-0002-9731-7498</t>
  </si>
  <si>
    <t>10.1175/1520-0442(2004)017&lt;2609:EOTRDO&gt;2.0.CO;2</t>
  </si>
  <si>
    <t>838HJ</t>
  </si>
  <si>
    <t>Green Submitted, hybrid</t>
  </si>
  <si>
    <t>WOS:000222703800008</t>
  </si>
  <si>
    <t>White, WB; Gloersen, P; Simmonds, I</t>
  </si>
  <si>
    <t>Tropospheric response in the Antarctic circumpolar wave along the sea ice edge around Antarctica</t>
  </si>
  <si>
    <t>TEMPERATURE; TELECONNECTIONS</t>
  </si>
  <si>
    <t>The Antarctic circumpolar wave (ACW) signal of a 3.7-yr period occurs along the sea ice edge forming around Antarctic each fall - winter - spring from 1982 to 2001. It was larger during the first decade than the second and has retracted sea ice extent (SIE) anomalies coinciding with warmer sea surface temperature, greater upward latent heat flux, and higher precipitation, driving deep convection in the troposphere associated with low-level convergence and upper-level divergence. Lower sea level pressure is displaced; 908 of phase to the west of retracted SIE anomalies, coinciding with increased extratropical cyclone density and intensity. The authors diagnose tropospheric thermal and potential vorticity budgets of this ACW signal using NCEP-NCAR reanalysis datasets, which show retracted SIE anomalies driving upper-level diabatic heating and low-level cooling, the former ( latter) balanced mainly by vertical heat advection (poleward heat advection). This explains the anomalous poleward surface winds and deep convection observed over retracted SIE anomalies in this ACW signal. Thus, the vertical gradient of diabatic heating is balanced mainly by horizontal vortex tube advection at the low level and horizontal absolute vorticity advection at the upper level, together yielding the anomalous equivalently barotropic poleward wind response to the retracted SIE anomaly. Anomalous SIE-induced deep convection at the sea ice edge drives anomalous zonal (Walker-like) cells that teleconnect opposite phases in the ACW signal. It also drives anomalous Ferrell cells that teleconnect the ACW signal along the sea ice edge to that along the Subtropical Front near 35degreesS.</t>
  </si>
  <si>
    <t>Univ Calif San Diego, Scripps Inst Oceanog, La Jolla, CA 92093 USA; NASA, Oceans &amp; Ice Branch, Lab Hydrosphere Sci, Goddard Space Flight Ctr, Greenbelt, MD 20771 USA; Univ Melbourne, Sch Earth Sci, Parkville, Vic 3052, Australia</t>
  </si>
  <si>
    <t>University of California System; University of California San Diego; Scripps Institution of Oceanography; National Aeronautics &amp; Space Administration (NASA); NASA Goddard Space Flight Center; University of Melbourne</t>
  </si>
  <si>
    <t>wbwhite@ucsd.edu</t>
  </si>
  <si>
    <t>10.1175/1520-0442(2004)017&lt;2765:TRITAC&gt;2.0.CO;2</t>
  </si>
  <si>
    <t>839NF</t>
  </si>
  <si>
    <t>WOS:000222791100004</t>
  </si>
  <si>
    <t>Turner, J; Colwell, SR; Marshall, GJ; Lachlan-Cope, TA; Carleton, AM; Jones, PD; Lagun, V; Reid, PA; Iagovkina, S</t>
  </si>
  <si>
    <t>The SCAR READER project: Toward a high-quality database of mean Antarctic meteorological observations</t>
  </si>
  <si>
    <t>CLIMATE-CHANGE; PENINSULA; TEMPERATURE</t>
  </si>
  <si>
    <t>A new dataset of monthly and annual mean near-surface climate data ( temperature, surface and mean sea level pressure, and wind speed) for the Antarctic region has been created using historical observations [ Scientific Committee on Antarctic Research ( SCAR) Reference Antarctic Data for Environmental Research ( READER)]. Where possible, 6-hourly surface synoptic and automatic weather station observations were used to compute the means. The ability to quality control the data at the level of individual observations has produced a more accurate series of monthly means than was available previously. At the time of writing, the mean data are available on the Internet (http://www.antarctica.ac.uk/met/programs-hosted.html). Data for 43 surface-staffed stations and 61 automatic weather stations are included in the database. Here, mean temperature, pressure, and wind speed data for 19 occupied stations with long records are provided.</t>
  </si>
  <si>
    <t>British Antarctic Survey, NERC, Cambridge CB3 0ET, England; Penn State Univ, Coll Earth &amp; Mineral Sci, University Pk, PA 16802 USA; Univ E Anglia, Climat Res Unit, Norwich NR4 7TJ, Norfolk, England; Arctic &amp; Antarctic Res Inst, St Petersburg 199226, Russia; Natl Climate Ctr, Bur Meteorol, Melbourne, Vic, Australia; Main Geophys Observ, Dept Dynam Meteorol, St Petersburg, Russia</t>
  </si>
  <si>
    <t>UK Research &amp; Innovation (UKRI); Natural Environment Research Council (NERC); NERC British Antarctic Survey; Pennsylvania Commonwealth System of Higher Education (PCSHE); Pennsylvania State University; Pennsylvania State University - University Park; University of East Anglia; Arctic &amp; Antarctic Research Institute; Bureau of Meteorology - Australia</t>
  </si>
  <si>
    <t>Turner, J (corresponding author), British Antarctic Survey, NERC, High Cross,Madingley Rd, Cambridge CB3 0ET, England.</t>
  </si>
  <si>
    <t>j.turner@bas.ac.uk</t>
  </si>
  <si>
    <t>Jones, Philip Douglas/C-8718-2009</t>
  </si>
  <si>
    <t>Jones, Philip Douglas/0000-0001-5032-5493; Turner, John/0000-0002-6111-5122</t>
  </si>
  <si>
    <t>10.1175/1520-0442(2004)017&lt;2890:TSRPTA&gt;2.0.CO;2</t>
  </si>
  <si>
    <t>WOS:000222791100013</t>
  </si>
  <si>
    <t>Sheldon, ND; Retallack, GJ</t>
  </si>
  <si>
    <t>Regional paleoprecipitation records from the late eocene and oligocene of North America</t>
  </si>
  <si>
    <t>JOURNAL OF GEOLOGY</t>
  </si>
  <si>
    <t>PEDOGENIC CARBONATE HORIZON; BOUNDARY; PALEOSOLS; EVOLUTION; INDICATOR; EXPANSION; CLIMATE; OREGON; DEPTH; TEMPERATURES</t>
  </si>
  <si>
    <t>The marine delta(18)O record indicates precipitous cooling or significant expansion of Antarctic ice volume across the Eocene-Oligocene epoch boundary at 33.7 Ma. This climatic step is also found in estimates of decreased paleoprecipitation from paleosols in Oregon, Montana, and Nebraska but is only a part of a long-term decline across the Eocene-Oligocene transition rather than a sudden shift. This suggests that climate was driven by a gradual process rather than a single perturbation. Paleoprecipitation levels stabilized during the Oligocene, coincident with a stabilization in delta(18)O values, possibly indicating a new climatic steady state.</t>
  </si>
  <si>
    <t>Univ Oregon, Dept Geol Sci, Eugene, OR 97403 USA</t>
  </si>
  <si>
    <t>University of Oregon</t>
  </si>
  <si>
    <t>Sheldon, ND (corresponding author), Royal Holloway Univ London, Dept Geol, Egham TW20 0EX, Surrey, England.</t>
  </si>
  <si>
    <t>n.sheldon@gl.rhul.ac.uk</t>
  </si>
  <si>
    <t>Sheldon, Nathan D/K-6717-2015</t>
  </si>
  <si>
    <t>Sheldon, Nathan D/0000-0003-3371-0036</t>
  </si>
  <si>
    <t>0022-1376</t>
  </si>
  <si>
    <t>1537-5269</t>
  </si>
  <si>
    <t>J GEOL</t>
  </si>
  <si>
    <t>J. Geol.</t>
  </si>
  <si>
    <t>10.1086/421076</t>
  </si>
  <si>
    <t>838HC</t>
  </si>
  <si>
    <t>WOS:000222703100007</t>
  </si>
  <si>
    <t>Ivanov, LM; Margolina, TM; Danilov, AI</t>
  </si>
  <si>
    <t>Application of inverse technique to study radioactive pollution and mixing processes in the Arctic Seas</t>
  </si>
  <si>
    <t>34th International Liege Colloquium on Ocean Dynamics</t>
  </si>
  <si>
    <t>MAY 06-10, 2002</t>
  </si>
  <si>
    <t>Liege, BELGIUM</t>
  </si>
  <si>
    <t>Cs-137; Sr-90; inverse methods; age; renewal; mixing processes; Kara Sea; White Sea</t>
  </si>
  <si>
    <t>KARA SEA; MODEL; AGE</t>
  </si>
  <si>
    <t>Rare noisy observations of the dissolved and suspended Cs-137, and the dissolved Sr-90 collected for years 1985 and 1994, respectively, are utilized through an inverse method to estimate the radionuclide pollution and the mixing time scale, namely the age, of the White and Kara Seas. We demonstrate how uncertainties, such as measurement noise, inhomogeneous station disposition and others depress the identification utility of the radioactive observations in the Arctic Seas to validate regional radioecological models. The special approach estimates the current and mean radionuclide pollution from the rare observations. We found the mean integral amount of cesium (strontium) pollution of the White Sea (in 1985) and Kara Sea (in 1992) did not exceed similar to 70 (41) TBq and similar to 16 (9) TBq, respectively, and radioactive background of these seas is low in comparing to the Black and Barents Seas. Estimations of the age confirm the fact of the rapid ventilation of the Kara Sea, but not the White Sea. The age ranges from 1-2 years for the Kara Sea till 5-6 years for the White Sea. That factually says about the possibility of the long-term accumulation of radionuclides in the White Sea. (C) 2004 Elsevier B.V. All rights reserved.</t>
  </si>
  <si>
    <t>Natl Acad Sci Ukraine, Inst Marine Hydrophys, UA-99011 Sevastopol, Ukraine; Arctic &amp; Antarctic Res Inst, St Petersburg 199226, Russia</t>
  </si>
  <si>
    <t>National Academy of Sciences Ukraine; Arctic &amp; Antarctic Research Institute</t>
  </si>
  <si>
    <t>Ivanov, LM (corresponding author), Natl Acad Sci Ukraine, Inst Marine Hydrophys, Kapitanskaya 2, UA-99011 Sevastopol, Ukraine.</t>
  </si>
  <si>
    <t>lmivanov@alpha.mhi.iuf.net</t>
  </si>
  <si>
    <t>Margolina, Tetyana/ABD-3917-2021</t>
  </si>
  <si>
    <t>Margolina, Tetyana/0000-0003-1594-5974</t>
  </si>
  <si>
    <t>10.1016/j.jmarsys.2003.05.002</t>
  </si>
  <si>
    <t>837GP</t>
  </si>
  <si>
    <t>WOS:000222617000009</t>
  </si>
  <si>
    <t>Ankisetty, S; Amsler, CD; McClintock, JB; Baker, BJ</t>
  </si>
  <si>
    <t>Further membranolide diterpenes from the Antarctic sponge Dendrilla membranosa</t>
  </si>
  <si>
    <t>Chemical investigation of the Antarctic sponge Dendrilla membranosa collected from the vicinity of Palmer Station on Anvers Island, Antarctica, yielded three new diterpenes, membranolides B-D (2-4), as well as three previously reported sponge metabolites. Membranolides C and D (3, 4), bearing carboxylic acid functional groups, display Gram-negative antibiotic and antifungal activities.</t>
  </si>
  <si>
    <t>Univ S Florida, Dept Chem, Tampa, FL 33620 USA; Univ Alabama Birmingham, Dept Biol Sci, Birmingham, AL 35294 USA</t>
  </si>
  <si>
    <t>State University System of Florida; University of South Florida; University of Alabama System; University of Alabama Birmingham</t>
  </si>
  <si>
    <t>10.1021/np0340551</t>
  </si>
  <si>
    <t>841AF</t>
  </si>
  <si>
    <t>WOS:000222901000020</t>
  </si>
  <si>
    <t>Miller, S; Macdonald, DIM</t>
  </si>
  <si>
    <t>Metamorphic and thermal history of a fore-arc basin: the Fossil Bluff Group, Alexander Island, Antarctica</t>
  </si>
  <si>
    <t>JOURNAL OF PETROLOGY</t>
  </si>
  <si>
    <t>Antarctica; diagenesis; fore-arc basin; low-temperature metamorphism; vitrinite reflectance</t>
  </si>
  <si>
    <t>ILLITE CRYSTALLINITY; GEOTHERMAL GRADIENTS; FACIES METAMORPHISM; FISSION-TRACK; PENINSULA; SUBDUCTION; EXPLORATION; REFLECTANCE; MODEL; PLATE</t>
  </si>
  <si>
    <t>The Himalia Ridge Formation (Fossil Bluff Group), Alexander Island is a 2.2-km-thick sequence of Upper Jurassic-Lower Cretaceous conglomerates, sandstones and mudstones, derived from an andesitic volcanic arc and deposited in a fore-arc basin. The metamorphic and thermal history of the formation has been determined using authigenic mineral assemblages and vitrinite reflectance measurements. Metamorphic effects include compaction, pore-space reduction, cementation and dissolution and replacement of detrital grains by clay minerals (smectite, illite/smectite, corrensite and kaolinite), calcite, chlorite, laumontite, prehnite, pumpellyite, albite and mica, with less common quartz, haematite, pyrite and epidote. The authigenic mineral assemblages exhibit a depth-dependence, and laumontite and calcite exhibit a strong antipathetic relationship. Detrital organic matter in the argillaceous layers has vitrinite reflectance values (R-o) ranging from 2.3 to 3.7%. This indicates considerable thermal maturation, with a systematic increase in reflectivity with increasing depth. There is good correlation of metamorphic mineral assemblages with chlorite crystallinity and vitrinite reflectance values-all indicating temperatures in the range of 140 +/- 20degreesC at the top of the sequence to 250 +/- 10degreesC at the base of the sequence. The temperatures suggest a geothermal gradient of 36-64degreesC/km and a most likely gradient of 50degreesC/km. It is suggested that this higher-than-average gradient for a fore-arc basin resulted either from rifting during basin formation or from a late-stage arc migration event.</t>
  </si>
  <si>
    <t>Miller, S (corresponding author), Natl Museums Scotland, Chambers St, Edinburgh EH1 1JF, Midlothian, Scotland.</t>
  </si>
  <si>
    <t>s.miller@nms.ac.uk</t>
  </si>
  <si>
    <t>0022-3530</t>
  </si>
  <si>
    <t>J PETROL</t>
  </si>
  <si>
    <t>J. Petrol.</t>
  </si>
  <si>
    <t>10.1093/petrology/egh025</t>
  </si>
  <si>
    <t>832MH</t>
  </si>
  <si>
    <t>WOS:000222271100008</t>
  </si>
  <si>
    <t>Gallego, B; Cessi, P; McWilliams, JC</t>
  </si>
  <si>
    <t>The Antarctic Circumpolar Current in equilibrium</t>
  </si>
  <si>
    <t>OCEAN CIRCULATION MODELS; TRACER TRANSPORTS; SOUTHERN-OCEAN; DEACON CELL; THERMOCLINE; DYNAMICS; EDDIES; BUDGET; WINDS</t>
  </si>
  <si>
    <t>A simple channel-flow model is used to examine the equilibrium upper-ocean dynamics and thermodynamics of the Antarctic Circumpolar Current (ACC). The model consists of two zonally averaged, variable-temperature layers-a surface boundary layer and a thermocline layer-separated by a turbulent interface. Weak air-sea heat flux, determined by relaxation to a prescribed atmospheric temperature, determines the leading-order temperature structure in the oceanic surface layer. The equilibrium thermal structure in the interior is mostly determined by a dominant balance between the meridional transport due to the wind-driven Eulerian mean circulation and the heat flux due to the baroclinic eddies. The resulting latitudinal temperature gradient depends on both the wind and the atmospheric temperature forcing and sustains the geostrophic zonal flow. Consideration of the next-order balance for the oceanic surface temperature results in an air-sea heat flux proportional to the magnitude of the residual flow. The residual meridional circulation ( Eulerian mean plus eddy-induced) is necessary to balance small diabatic sources and sinks of heat. Therefore, it depends on the processes of vertical diffusion, boundary layer entrainment/detrainment, and, on the polar flank, convection. In the absence of substantial lateral diffusion, the leading-order balance of weak residual circulation implies a very weak meridional heat transport across the ACC and a correspondingly weak differential heat exchange to the atmosphere. This limitation can be eased if the lateral diffusive flux of temperature in the surface layer becomes as large as the adiabatic eddy transport.</t>
  </si>
  <si>
    <t>Univ Calif San Diego, Scripps Inst Oceanog, La Jolla, CA 92093 USA; Univ Calif Los Angeles, Dept Atmospher Sci, Los Angeles, CA 90024 USA</t>
  </si>
  <si>
    <t>University of California System; University of California San Diego; Scripps Institution of Oceanography; University of California System; University of California Los Angeles</t>
  </si>
  <si>
    <t>Univ Calif San Diego, Scripps Inst Oceanog, 9500 Gilman Dr,MC 0213, La Jolla, CA 92093 USA.</t>
  </si>
  <si>
    <t>pcessi@ucsd.edu</t>
  </si>
  <si>
    <t>10.1175/1520-0485(2004)034&lt;1571:TACCIE&gt;2.0.CO;2</t>
  </si>
  <si>
    <t>839NC</t>
  </si>
  <si>
    <t>WOS:000222790800007</t>
  </si>
  <si>
    <t>Kamenkovich, IV; Sarachik, ES</t>
  </si>
  <si>
    <t>Mechanisms controlling the sensitivity of the Atlantic thermohaline circulation to the parameterization of eddy transports in ocean GCMs</t>
  </si>
  <si>
    <t>SCALE WATER MASSES; MESOSCALE TRACER TRANSPORTS; GENERAL-CIRCULATION; COARSE-RESOLUTION; HEAT-TRANSPORT; WORLD OCEAN; MIXING PARAMETERIZATIONS; OVERTURNING CIRCULATION; INDUCED ADVECTION; NORTH-ATLANTIC</t>
  </si>
  <si>
    <t>The authors identify and describe the important dynamical mechanisms that explain the significant sensitivity of the Atlantic thermohaline circulation to the parameterization of heat and salt transports by mesoscale eddies in numerical models. In particular, the effects of the Gent-McWilliams ( GM) scheme, which has a strong flattening effect on isopycnals, and a simple horizontal diffusion scheme are considered and compared. Two control runs, one with each scheme, exhibit very different circulations and density structures. To analyze the dynamical reasons for the differences between the control runs, a number of numerical experiments with regionally varying diffusion coefficients are carried out, emphasizing the effects of different schemes in key regions. The main effect of eddies in the Southern Ocean in nature is to shoal the subsurface isopycnal surfaces, thus increasing the density of the northward inflow of relatively dense intermediate waters into the Atlantic-as will be seen, this is more effectively done by the GM parameterization of the eddies. The resulting increase in the subsurface density at low latitudes decreases the meridional density contrast with the high latitudes of the North Atlantic, shoals the pycnocline, and consequently weakens the meridional overturning. By contrast, the effect of the eddy transports in the western boundary current in the Northern Hemisphere on the strength of the North Atlantic Deep Water (NADW) formation is shown to be smaller. The Northern Hemisphere upwelling and horizontal flow structure is strongly affected by local eddy transports, and the outflow of the NADW is very sensitive to the Northern Hemisphere eddy transports as a result. The original scaling of Gnanadesikan is modified to include the effects of horizontal mixing in low latitudes. The results confirm the leading role of the Southern Ocean eddies in affecting the strength of NADW formation, while the Northern Hemisphere horizontal mixing mostly affects local upwelling. The eddy transports in the Southern Ocean also affect the properties of Antarctic Bottom Water, which influences the vertical penetration of the NADW overturning cell as well as the density of the deep ocean.</t>
  </si>
  <si>
    <t>Univ Washington, Joint Inst Study Atmosphere &amp; Oceans, Dept Atmospher Sci, Seattle, WA 98195 USA</t>
  </si>
  <si>
    <t>University of Washington; University of Washington Seattle</t>
  </si>
  <si>
    <t>Univ Washington, Joint Inst Study Atmosphere &amp; Oceans, Dept Atmospher Sci, Box 354235, Seattle, WA 98195 USA.</t>
  </si>
  <si>
    <t>kamen@atmos.washington.edu</t>
  </si>
  <si>
    <t>Kamenkovich, Igor/AAG-3451-2019</t>
  </si>
  <si>
    <t>Kamenkovich, Igor/0000-0001-6228-5599</t>
  </si>
  <si>
    <t>10.1175/1520-0485(2004)034&lt;1628:MCTSOT&gt;2.0.CO;2</t>
  </si>
  <si>
    <t>WOS:000222790800010</t>
  </si>
  <si>
    <t>Connolley, WM; Gregory, JM; Hunke, E; McLaren, AJ</t>
  </si>
  <si>
    <t>On the consistent scaling of terms in the sea-ice dynamics equation</t>
  </si>
  <si>
    <t>MODEL</t>
  </si>
  <si>
    <t>The standard way in which the sea-ice dynamics equation is used in models assumes that the wind stress and ocean drag do not depend on the sea-ice concentration. It is demonstrated that this assumption is inconsistent with the free-drift limit, and how great an effect it has in practice is examined. By examining the momentum balance in the free-drift limit, the authors determine the proper area scaling for the forcing terms, thereby obtaining a more accurate solution, particularly in low-ice-concentration regions.</t>
  </si>
  <si>
    <t>British Antarctic Survey, Cambridge CB3 0ET, England; Univ Reading, Dept Meteorol, Ctr Global Atmospher Modelling, Reading, Berks, England; Met Off, Hadley Ctr Climate Predict &amp; Res, Exeter, Devon, England; Los Alamos Natl Lab, Fluid Dynam Grp T3, Los Alamos, NM USA</t>
  </si>
  <si>
    <t>UK Research &amp; Innovation (UKRI); Natural Environment Research Council (NERC); NERC British Antarctic Survey; Met Office - UK; University of Reading; UK Research &amp; Innovation (UKRI); Natural Environment Research Council (NERC); NERC National Centre for Earth Observation; NERC National Centre for Atmospheric Science; Met Office - UK; Hadley Centre; United States Department of Energy (DOE); Los Alamos National Laboratory</t>
  </si>
  <si>
    <t>British Antarctic Survey, High Cross, Cambridge CB3 0ET, England.</t>
  </si>
  <si>
    <t>wmc@bas.ac.uk</t>
  </si>
  <si>
    <t>McLaren, Alison/GRE-9659-2022; Gregory, Jonathan/J-2939-2016</t>
  </si>
  <si>
    <t>McLaren, Alison/0009-0005-2195-1758; Gregory, Jonathan/0000-0003-1296-8644</t>
  </si>
  <si>
    <t>10.1175/1520-0485(2004)034&lt;1776:OTCSOT&gt;2.0.CO;2</t>
  </si>
  <si>
    <t>WOS:000222790800019</t>
  </si>
  <si>
    <t>Schell, C; Jaffe, JS</t>
  </si>
  <si>
    <t>Experimental verification of an interpolation algorithm for improved estimates of animal position</t>
  </si>
  <si>
    <t>JOURNAL OF THE ACOUSTICAL SOCIETY OF AMERICA</t>
  </si>
  <si>
    <t>SWIMMING BEHAVIOR; MULTIBEAM SONAR; EUPHAUSIA-PACIFICA; TARGET TRACKING; ANTARCTIC KRILL; BEAM; ZOOPLANKTON; SALMON; HYDROACOUSTICS; ACOUSTICS</t>
  </si>
  <si>
    <t>This article presents experimental verification of an interpolation algorithm that was previously proposed in Jaffe [J. Acoust. Soc. Am. 105, 3168-3175 (1999)]. The goal of the algorithm is to improve estimates of both target position and target strength by minimizing a least-squares residual between noise-corrupted target measurement data and the output of a model of the sonar's amplitude response to a target at a set of known locations. Although this positional estimator was shown to be a maximum likelihood estimator, in principle, experimental verification was desired because of interest in understanding, its true performance. Here, the accuracy of the algorithm is investigated by analyzing the correspondence between a target's true position and the algorithm's estimate. True target position was measured by precise translation of a small test target (bead) or from the analysis of images of fish from a coregistered optical imaging system. Results with the stationary spherical test bead in a high signal-to-noise environment indicate that a large increase in resolution is possible, while results with commercial aquarium fish indicate a smaller increase is obtainable. However, in both experiments the algorithm provides improved estimates of target position over those obtained by simply accepting the angular positions of the sonar beam with maximum output as target position. In addition, increased accuracy in target strength estimation is possible by considering the effects of the sonar beam patterns relative to the interpolated position. A benefit of the algorithm is that it can be applied ex post facto to existing data sets from commercial multibeam sonar systems when only the beam intensities have been stored after suitable calibration. (C) 2004 Acoustical Society of America.</t>
  </si>
  <si>
    <t>Univ Calif San Diego, Scripps Inst Oceanog, Marine Phys Lab, La Jolla, CA 92093 USA</t>
  </si>
  <si>
    <t>Univ Calif San Diego, Scripps Inst Oceanog, Marine Phys Lab, La Jolla, CA 92093 USA.</t>
  </si>
  <si>
    <t>jules@mpl.ucsd.edu</t>
  </si>
  <si>
    <t>ACOUSTICAL SOC AMER AMER INST PHYSICS</t>
  </si>
  <si>
    <t>MELVILLE</t>
  </si>
  <si>
    <t>STE 1 NO 1, 2 HUNTINGTON QUADRANGLE, MELVILLE, NY 11747-4502 USA</t>
  </si>
  <si>
    <t>0001-4966</t>
  </si>
  <si>
    <t>1520-8524</t>
  </si>
  <si>
    <t>J ACOUST SOC AM</t>
  </si>
  <si>
    <t>J. Acoust. Soc. Am.</t>
  </si>
  <si>
    <t>10.1121/1.1756894</t>
  </si>
  <si>
    <t>Acoustics; Audiology &amp; Speech-Language Pathology</t>
  </si>
  <si>
    <t>837XN</t>
  </si>
  <si>
    <t>WOS:000222674800025</t>
  </si>
  <si>
    <t>Riley, TR; Millar, IL; Watkeys, MK; Curtis, ML; Leat, PT; Klausen, MB; Fanning, CM</t>
  </si>
  <si>
    <t>U-Pb zircon (SHRIMP) ages for the Lebombo rhyolites, South Africa: refining the duration of Karoo volcanism</t>
  </si>
  <si>
    <t>JOURNAL OF THE GEOLOGICAL SOCIETY</t>
  </si>
  <si>
    <t>lemombo rhyolites; U-pb; flood basalts; rhyolites; Karoo</t>
  </si>
  <si>
    <t>EVENT</t>
  </si>
  <si>
    <t>U-Pb SHRIMP ages are reported for three rhyolite flows from the Lebombo rift region of the Karoo volcanic province. Two flows are interbedded with the Sabie River Basalt Formation and a third sample is from the overlying rhyolitic Jozini Formation. The interbedded rhyolites yield ages of 182.0 +/- 2.1 and 179.9 +/- 1.8 Ma, whilst the overlying Jozini Formation rhyolite yields an age of 182.1 +/- 2.9 Ma. Combined with existing 40Ar/39Ar geochronology, the new SHRIMP data fine-tunes the chronology of the Karoo volcanic province and indicates the 12 km succession of volcanic rocks in the Lebombo rift were erupted in 1-2 million years and lends considerable support to the links between the Pleinsbachian-Toarcian extinction event and the global environmental impact of Karoo volcanism.</t>
  </si>
  <si>
    <t>British Antarctic Survey, Cambridge CB3 0ET, England; British Antarctic Survey, Keyworth NG12 5GG, Notts, England; Univ KwaZulu Natal, Sch Geol &amp; Comp Sci, ZA-4041 Durban, South Africa; Australian Natl Univ, Res Sch Earth Sci, PRISE, Canberra, ACT 0200, Australia</t>
  </si>
  <si>
    <t>UK Research &amp; Innovation (UKRI); Natural Environment Research Council (NERC); NERC British Antarctic Survey; UK Research &amp; Innovation (UKRI); Natural Environment Research Council (NERC); NERC British Antarctic Survey; University of Kwazulu Natal; Australian National University</t>
  </si>
  <si>
    <t>t.riley@bas.ac.uk</t>
  </si>
  <si>
    <t>Curtis, Mike/HKV-6176-2023; Millar, Ian L/F-1541-2010; Fanning, Christopher Mark/I-6449-2016</t>
  </si>
  <si>
    <t>Riley, Teal/0000-0002-3333-5021; Klausen, Martin/0000-0001-6003-9490; Fanning, Christopher Mark/0000-0003-3331-3145</t>
  </si>
  <si>
    <t>0016-7649</t>
  </si>
  <si>
    <t>2041-479X</t>
  </si>
  <si>
    <t>J GEOL SOC LONDON</t>
  </si>
  <si>
    <t>J. Geol. Soc.</t>
  </si>
  <si>
    <t>10.1144/0016-764903-181</t>
  </si>
  <si>
    <t>836KP</t>
  </si>
  <si>
    <t>WOS:000222554900001</t>
  </si>
  <si>
    <t>Evans, K; Hindell, MA</t>
  </si>
  <si>
    <t>The age structure and growth of female sperm whales (Physeter macrocephalus) in southern Australian waters</t>
  </si>
  <si>
    <t>sperm whale; Physeter macrocephalus; age; demographics; growth</t>
  </si>
  <si>
    <t>BODY-FAT; DEMOGRAPHY; REPRODUCTION; POPULATIONS; PATTERNS; KAIKOURA; SEALS</t>
  </si>
  <si>
    <t>The age of 86 individuals derived from groups of female sperm whale Physeter macrocephalus involved in three mass strandings on the north and west coasts of Tasmania in 1998 was determined from the number of dentinal growth layer groups in the teeth of individuals. Dorsal total lengths were also measured. Ages of females ranged from 0.75 to 64 years, with the majority (77%) aged between 20 and 45 years. Total lengths of female sperm whales ranged from 417-1200 cm, with 68% of females 1050-1200 cm long. Constraints associated with the age structure observed in this study and the representativeness of the age structure to that of the greater population are discussed. In an effort to assess the effects of underestimation of age estimates on age-specific demographic parameters, a model simulating changes in age structure as a result of tooth wear was developed and the resulting survival rates compared to those derived from the original age structures of the samples. Survival did not change significantly between the modelled and original age structures. Also, the survival rate calculated from Australian mature female sperm whales was compared to that calculated from sperm whales caught in whaling operations from Japanese waters. Australian mature female sperm whales demonstrated significantly higher survival rates (mean = 0.905 +/- 0.046 SD range: 0.856-0.986) than mature females from Japanese waters (mean = 0.885 +/- 0.034 SD; range = 0.859-0.970), possibly the reflection of higher fishing mortality on the Japanese whales. Growth equations using Gompertz and von Bertalanffy models were calculated for female Australian sperm whales and compared. Both models described growth in female sperm whales similarly. Changes in the demographic parameters of sperm whales with the cessation of whaling may be reflected in the growth rates of individuals and as such, these equations may provide a useful tool for monitoring continuing changes in the demographic parameters of this species. Without long-term mark-recapture studies on sperm whales in this region, the frequent stranding of sperm whales in south-eastern Australia provides an important opportunity to collect data on the life history and demography of this species.</t>
  </si>
  <si>
    <t>Univ Tasmania, Sch Zool, Antarctic Wildlife Res Unit, Hobart, Tas 7001, Australia</t>
  </si>
  <si>
    <t>Evans, K (corresponding author), CSIRO Marine Res, GPO Box 1538, Hobart, Tas 7001, Australia.</t>
  </si>
  <si>
    <t>Karen.Evans@csiro.au</t>
  </si>
  <si>
    <t>Hindell, Mark A/K-1131-2013; evans, karen/D-7110-2012; Hindell, Mark A/C-8368-2013</t>
  </si>
  <si>
    <t>Evans, Karen/0000-0003-2205-4264; Hindell, Mark/0000-0002-7823-7185</t>
  </si>
  <si>
    <t>10.1017/S0952836904005096</t>
  </si>
  <si>
    <t>841CY</t>
  </si>
  <si>
    <t>WOS:000222908100003</t>
  </si>
  <si>
    <t>Jessopp, MJ; Forcada, J; Reid, K; Trathan, PN; Murphy, EJ</t>
  </si>
  <si>
    <t>Winter dispersal of leopard seals (Hydrurga leptonyx) environmental factors influencing demographics and seasonal abundance</t>
  </si>
  <si>
    <t>leopard seals; Hydrurga leptonyx; survival; demographics; abundance</t>
  </si>
  <si>
    <t>MARKED ANIMALS; SOUTH GEORGIA; PRYDZ BAY; PACK ICE; ANTARCTICA; SURVIVAL; ISLAND; TEMPERATURE; POPULATION; BEHAVIOR</t>
  </si>
  <si>
    <t>The dynamics of leopard seat Hydrurga leptonyx abundance and residency were investigated both within and between years at Bird Island, South Georgia, using observations of tagged and untagged individuals. Seals belonged to an open population, and were sampled outside the breeding season and during their northward winter dispersal (April-October). Seals at Bird Island were highly transient (41-63%) with only a limited number of individuals making repeat visits across years. A minimum yearly survival for resident seals was estimated to be between 0.61 and 0.85. The physical environment played an important role in leopard seal abundance, with observations following an apparent 4-year periodicity consistent with the frequency and timing of the Antarctic Circumpolar Wave. Years of low sea-surface temperature (SST) and extensive pack-ice corresponded to a higher number of seals present, earlier arrivals, and longer periods of residency. Peak leopard seal arrivals at Bird Island corresponded to periods of low SST, which was consistent with the pagophilic nature of this species.</t>
  </si>
  <si>
    <t>British Antarctic Survey, Nat Environm Res Council, Madingley Rd, Cambridge CB3 0ET, England.</t>
  </si>
  <si>
    <t>Forcada, Jaume/GYU-0677-2022; murphy, eugene/GZL-1620-2022; Jessopp, Mark/AAI-4786-2020</t>
  </si>
  <si>
    <t>Jessopp, Mark/0000-0002-2692-3730</t>
  </si>
  <si>
    <t>10.1017/S0952836904005102</t>
  </si>
  <si>
    <t>WOS:000222908100004</t>
  </si>
  <si>
    <t>Martin, AR; da Silva, VME</t>
  </si>
  <si>
    <t>River dolphins and flooded forest:: seasonal habitat use and sexual segregation of botos (Inia geoffrensis) in an extreme cetacean environment</t>
  </si>
  <si>
    <t>Amazon; Brazil; conservation; floodplain; varzea; Inia geoffrensis</t>
  </si>
  <si>
    <t>POLAR BEARS</t>
  </si>
  <si>
    <t>Habitat use by the boto, or Amazon river dolphin Inia geoffrensis, was investigated in and around the Mamiraua Reserve, Brazil. Largely forested with numerous channels and lakes, Mamiraua comprises a variety of seasonal floodplain habitats known collectively as varzea. The annual cycle of flooding in this region (amplitude 11-15 m) dominates all life. Profound seasonal differences in dolphin density between habitats were consistent with known fish movements, in turn dictated by changes in water level and dissolved oxygen. An exodus of botos from floodplain to river at low water prevents dolphins being trapped in areas that become entirely dry. Densities of botos in floodplain channels were seasonally higher (up to 18 km(-2)) than reported for any cetacean worldwide. Adults were largely segregated by sex except at low water. Females and calves dominated in chavascal habitat the areas most remote from rivers, which were preferred by mates. Probable causes of this segregation are the energetic requirements of calves and the safety of females and/or calves from male harassment. Some 80% of botos occurring on rivers were within 150 m of the margins. The reliance of adult females and calves on varzea in a region with exceptional dolphin densities demonstrates the importance of floodplain habitats for the boto, and may be the key determinant of this species' distribution.</t>
  </si>
  <si>
    <t>Univ St Andrews, Gatty Marine Lab, NERC, Sea Mammal Res Unit, St Andrews KY16 8LB, Fife, Scotland; Inst Nacl de Pesquisas da Amazonia, Lab Mamiferos Aquat, BR-69011790 Manaus, Amazonas, Brazil</t>
  </si>
  <si>
    <t>University of St Andrews; UK Research &amp; Innovation (UKRI); Natural Environment Research Council (NERC); Institute Nacional de Pesquisas da Amazonia</t>
  </si>
  <si>
    <t>da Silva, Vera Maria Ferreira/AAE-8126-2021</t>
  </si>
  <si>
    <t>da Silva, Vera Maria Ferreira/0000-0002-1774-0393</t>
  </si>
  <si>
    <t>10.1017/S095283690400528X</t>
  </si>
  <si>
    <t>WOS:000222908100009</t>
  </si>
  <si>
    <t>Roberts, J; McMinn, A</t>
  </si>
  <si>
    <t>Marine diffusive boundary layers at high latitudes</t>
  </si>
  <si>
    <t>PHOTOSYNTHESIS-COUPLED RESPIRATION; SEDIMENT-WATER INTERFACE; OXYGEN-UPTAKE; IN-SITU; SEA-FLOOR; MICROELECTRODES; TRANSPORT; FLUX</t>
  </si>
  <si>
    <t>The thickness of marine diffusive boundary layers (DBLs) can be calculated from the friction velocity and the water density (a function of temperature and salinity). However, DBL thickness scales differently with temperature, depending on whether free-stream or friction velocity is used. We show that there are advantages to using frictional velocity for experimental scaling. Low seawater temperatures in polar areas cause DBLs to be up to 32% thicker than in temperate or tropical areas. This will have a significant effect on biological processes such as photosynthesis and respiration.</t>
  </si>
  <si>
    <t>Univ Tasmania, Inst Antarctic &amp; So Ocean Studies, Hobart, Tas 7001, Australia; Univ Tasmania, Tasmanian Partnership Adv Comp, Hobart, Tas 7001, Australia</t>
  </si>
  <si>
    <t>Roberts, J (corresponding author), Univ Tasmania, Inst Antarctic &amp; So Ocean Studies, Private Bag 252, Hobart, Tas 7001, Australia.</t>
  </si>
  <si>
    <t>Roberts, Jason L/B-2235-2012; McMinn, Andrew/A-9910-2008</t>
  </si>
  <si>
    <t>Roberts, Jason L/0000-0002-3477-4069;</t>
  </si>
  <si>
    <t>10.4319/lo.2004.49.4.0934</t>
  </si>
  <si>
    <t>869JR</t>
  </si>
  <si>
    <t>WOS:000224979700005</t>
  </si>
  <si>
    <t>Goldthwait, S; Yen, J; Brown, J; Alldredge, A</t>
  </si>
  <si>
    <t>Quantification of marine snow fragmentation by swimming euphausiids</t>
  </si>
  <si>
    <t>ZOOPLANKTON FECAL PELLETS; SURFACE WATERS; CARBON TURNOVER; ANTARCTIC KRILL; DIEL VARIATION; PROPULSION; BEHAVIOR; MATTER; FLUX; BIOLUMINESCENCE</t>
  </si>
  <si>
    <t>Sinking of marine snow is a major mechanism of particulate carbon transport from surface waters to the seafloor. Any process altering the abundance or size of marine snow influences carbon flux and food availability to pelagic and benthic organisms. We explored whether zooplankton can alter carbon transport by a new mechanism-physical fragmentation of marine snow. The fluid stress created around the appendages of swimming Euphausia pacifica is capable of fragmenting a single aggregate into multiple, smaller aggregates. The reduced size and slower sinking rate of the daughter aggregates may increase their residence time in the water column, promoting decomposition and decreasing particle flux to depth. To determine the importance of fragmentation, tethered and free-swimming euphausiids were videotaped in the presence of marine snow representing a range of aggregate strengths, sizes, and ages. Image analysis was used to characterize the particles prior to and following fragmentation and to determine the area of influence around a single euphausiid. Tethered euphausiids pulled in particles from an average of 6.7 mm away, and most aggregates were fragmented in either the region of the rapidly beating pleopods or in the high-velocity jet that forms off the tail. Euphausiids were capable of fragmenting all aggregate types and produced an average of 7.3 daughter particles, with 60% of these daughter particles remaining within the marine snow size class ( &gt; 0.5 mm). Thus, physical fragmentation by swimming euphausiids increases the abundance of marine snow while decreasing overall marine snow mass. This novel process, which alters particle size structure without loss of total particulate organic carbon (POC), will be important in upwelling regions where euphausiids are the dominant macrozooplankton migrators.</t>
  </si>
  <si>
    <t>Univ Calif Santa Barbara, Dept Ecol Evolut &amp; Marine Biol, Santa Barbara, CA 93106 USA; Georgia Inst Technol, Sch Biol, Atlanta, GA 30332 USA</t>
  </si>
  <si>
    <t>University of California System; University of California Santa Barbara; University System of Georgia; Georgia Institute of Technology</t>
  </si>
  <si>
    <t>Stone, Sarah/0000-0003-4398-7450</t>
  </si>
  <si>
    <t>10.4319/lo.2004.49.4.0940</t>
  </si>
  <si>
    <t>WOS:000224979700006</t>
  </si>
  <si>
    <t>Simon, M; Rosenstock, B; Zwisler, W</t>
  </si>
  <si>
    <t>Coupling of epipelagic and mesopelagic heterotrophic picoplankton production to phytoplankton biomass in the Antarctic polar frontal region</t>
  </si>
  <si>
    <t>BACTERIAL PRODUCTION; INDIAN-OCEAN; SPRING BLOOM; ROSS SEA; SUMMER; BACTERIOPLANKTON; CARBON; RATES; SILICA; FLUXES</t>
  </si>
  <si>
    <t>We assessed relationships between phytoplankton standing stock, measured as chlorophyll a (Chl a), primary production (PP), and heterotrophic picoplankton production (HPP), in the epipelagic zone (0-100 m) as well as in the mesopelagic zone (100-1,000 m) in the polar frontal zone of the Atlantic sector of the Southern Ocean in austral summer (late December to January) and fall (March to early May). Integrated epipelagic HPP was positively correlated to integrated PP in summer (data for fall are not available) but not to integrated Chl a. However, integrated mesopelagic HPP was positively correlated to Chl a in summer as well as fall. The mesopelagic fraction of HPP as a percentage of total HPP was also positively correlated to Chl a, whereas the epipelagic fraction of HPP was negatively correlated to it. These results indicate that with increasing phytoplankton standing stock, constituted mainly of highly silicified diatoms, the focus of its consumption by heterotrophic picoplankton shifts from epipelagic to mesopelagic waters. With a growth efficiency of 30%, our HPP data indicate that in both the epipelagic and mesopelagic zone heterotrophic picoplankton consume 20% of PP Mesopelagic heterotrophic picoplankton consumed around 80% of the sinking flux, measured from depletion of Th-234, which is a lower fraction than that reported from the central and subarctic Pacific. Our analysis indicates that it is important to include mesopelagic HPP in comprehensive assessments of the microbial consumption of PP, phytoplankton biomass, and particulate organic matter in cold oceanic systems with high rates of export production.</t>
  </si>
  <si>
    <t>Carl von Ossietzky Univ Oldenburg, Inst Chem &amp; Biol Marine Environm, D-26111 Oldenburg, Germany</t>
  </si>
  <si>
    <t>Carl von Ossietzky Universitat Oldenburg</t>
  </si>
  <si>
    <t>Carl von Ossietzky Univ Oldenburg, Inst Chem &amp; Biol Marine Environm, D-26111 Oldenburg, Germany.</t>
  </si>
  <si>
    <t>m.simon@icbm.de</t>
  </si>
  <si>
    <t>10.4319/lo.2004.49.4.1035</t>
  </si>
  <si>
    <t>WOS:000224979700015</t>
  </si>
  <si>
    <t>Lee, PA; Priscu, JC; DiTullio, GR; Riseman, SF; Tursich, N; de Mora, SJ</t>
  </si>
  <si>
    <t>Elevated levels of dimethylated-sulfur compounds in Lake Bonney, a poorly ventilated Antarctic lake</t>
  </si>
  <si>
    <t>DRY VALLEY LAKES; ATMOSPHERIC SULFUR; DIMETHYLSULFIDE; SEA; PHYTOPLANKTON; SULFIDE; WATER; DMSP; BIOGEOCHEMISTRY; DYNAMICS</t>
  </si>
  <si>
    <t>Lake Bonney is a permanently ice-covered lake in the McMurdo Dry Valleys, Antarctica. The lake has two chemically stratified lobes (referred to as the east and west lobes), each with distinct biogenic sulfur profiles. Dimethylsulfoniopropionate (DMSPp) and dimethylsulfoxide (DMSOp) exceeded 32 and 2 nmol L-1, respectively, in the photic surface waters of the lake. Maximum DMSPp levels occurred in the deep-chlorophyll layer of both lobes, a zone dominated by chrysophytes and chlorophytes, which are thought to be the source of dimethylated sulfur in the deep waters of the lake following sedimentation and biogeochemical processing. Waters beneath the chemoclines of both lobes are cold ( &lt; 0degreesC), saline ( &gt; 3 times seawater), suboxic, and devoid of phytoplankton biomass and activity. Dimethylsulfide (DMS) levels ( &gt; 330 nmol L-1) in the deep west lobe are among the highest recorded in a natural aquatic ecosystem. In contrast, saline waters of the deep east lobe contain relatively little DMS ( &lt; 70 nmol L-1) but high DMSOd (270 nmol L-1), with the latter being the highest observed in any natural aquatic ecosystem. We argue that the differences in the biogenic sulfur profiles between the deep waters of the two lobes arise principally from subtle differences in the redox conditions found in each lobe.</t>
  </si>
  <si>
    <t>Montana State Univ, Dept Land Resources &amp; Environm Sci, Bozeman, MT 59717 USA; Coll Charleston, Hollings Marine Lab, Charleston, SC 29412 USA; IAEA, Marine Environm Studies Lab, MC-98012 Monaco, Monaco</t>
  </si>
  <si>
    <t>Montana State University System; Montana State University Bozeman; College of Charleston</t>
  </si>
  <si>
    <t>Montana State Univ, Dept Land Resources &amp; Environm Sci, 334 Leon Johnson Hall, Bozeman, MT 59717 USA.</t>
  </si>
  <si>
    <t>jpriscu@montana.edu</t>
  </si>
  <si>
    <t>10.4319/lo.2004.49.4.1044</t>
  </si>
  <si>
    <t>WOS:000224979700016</t>
  </si>
  <si>
    <t>Coltorti, M; Beccaluva, L; Bonadiman, C; Faccini, B; Ntaflos, T; Siena, F</t>
  </si>
  <si>
    <t>Amphibole genesis via metasomatic reaction with clinopyroxene in mantle xenoliths from Victoria Land, Antarctica</t>
  </si>
  <si>
    <t>metasomatism; magmatism; lithospheric mantle; clinopyroxene; amphibole; glass</t>
  </si>
  <si>
    <t>INFILTRATING BASALTIC MELTS; TRACE-ELEMENT COMPOSITIONS; OCEANIC UPPER-MANTLE; ION PROBE DATA; PERIDOTITE XENOLITHS; LITHOSPHERIC MANTLE; SPINEL LHERZOLITES; PARTITION-COEFFICIENTS; VEINED XENOLITHS; CANARY-ISLANDS</t>
  </si>
  <si>
    <t>Petrographic and major and trace element geochemical features of clinopyroxene, amphibole and glass from composite xenoliths from Mt. Melbourne and Mt. Overlord (Victoria Land, Antarctica) were investigated. Amphibole disseminated in the peridotite matrix appears to grow around clinopyroxene and spinel, and is often associated with high-TiO2 silicate glass. Clinopyroxene presents a wide range of compositions, from primary unmetasomatized diopside to high-MgO salite, with REE patterns varying from flat (at Yb-N 5Xchondrite) to slightly enriched [(La/Yb)(N) 2.7-4.2] at higher HREE contents (Yb-N 9.3-14.3). Amphibole also occurs in veins which, in few cases, grade into glass-rich veins before vanishing into the peridotite. Glasses are not related to amphibole destabilization; on the contrary, they appear to be strictly related to its formation. No chemical differences were noted between glasses related to disseminated or vein amphiboles. Their geochemical features favour a Na-alkaline silicate melt as the metasomatizing agent. Mass balance calculations were used to model the reactions producing amphibole from primary clinopyroxene, and to highlight the nature of the metasomatic agent/s. Trace element contents of the inferred melt/s are comparable to those of the most undersaturated magma found in the area, suggesting a strong link between metasomatism and the magmatism of the Ross Sea Rift system. This hypothesis is further strengthened by the analogy between trace element patterns of clinopyroxene associated with amphibole (cpx-A) and those of clinopyroxene contaminated by the host basalt (cpxBas). On the basis of the Mg/Fe diffusion model, the difference in mg# between these two clinopyroxenes was used to estimate the timing of the basalt infiltration and amphibole formation. Finally, various models for disseminated and vein amphibole relationships are recalled and their application to Antarctic amphiboles is tested. The petrographic and geochemical features of disseminated amphiboles, in fact, do not support the hypothesis that they may derive from differentiated magma after vein amphiboles have crystallized. Both amphibole types may have formed within a similar time span due to the different magma/wall rock ratios which control the mode of melt migration from porous flow to cracking and fracturing. (C) 2004 Elsevier B.V. All rights reserved.</t>
  </si>
  <si>
    <t>Univ Ferrara, Dept Earth Sci, I-44100 Ferrara, Italy; Univ Vienna, Dept Earth Sci, Geozentrum, A-1090 Vienna, Austria</t>
  </si>
  <si>
    <t>University of Ferrara; University of Vienna</t>
  </si>
  <si>
    <t>Univ Ferrara, Dept Earth Sci, Corso Ercole 1 Este,32, I-44100 Ferrara, Italy.</t>
  </si>
  <si>
    <t>clt@unife.it</t>
  </si>
  <si>
    <t>Faccini, Barbara/0000-0002-3546-7159; Beccaluva, Luigi/0000-0002-7457-3579</t>
  </si>
  <si>
    <t>10.1016/j.lithos.2003.12.021</t>
  </si>
  <si>
    <t>832ZR</t>
  </si>
  <si>
    <t>WOS:000222306700008</t>
  </si>
  <si>
    <t>Li, C; Sun, S; Wang, R; Wang, X</t>
  </si>
  <si>
    <t>Feeding and respiration rates of a planktonic copepod (Calanus sinicus) oversummering in Yellow Sea Cold Bottom Waters</t>
  </si>
  <si>
    <t>DIEL VERTICAL MIGRATION; INLAND SEA; ANTARCTIC COPEPODS; FOOD AVAILABILITY; MARINE COPEPODS; GUT CLEARANCE; CHLOROPHYLL; ZOOPLANKTON; TEMPERATURE; BEHAVIOR</t>
  </si>
  <si>
    <t>The distribution, feeding and oxygen consumption of Calanus sinicus were studied in August 2001 on a transect across Yellow Sea Cold Bottom Waters (YSCBW) and two additional transects nearby. The distribution of C. sinicus adults and copepodites stage CV appeared to be well correlated with water temperature. They tended to concentrate in the YSCBW (&gt;10,000 ind. m(-2)) to avoid high surface temperature. Gut pigment contents varied from 0.44 to 2.53 ng chlorophyll a equivalents (chl a equiv.) ind.(-1) for adults, and from 0.24 to 2.24 ng chl a equiv. ind.(-1) for CV copepodites. We found no relationship between gut pigment contents and the ambient chl a concentrations. Although the gut evacuation rate constants are consistent with those measured for other copepods, their low gut pigment contents meant an estimated daily herbivorous ingestion of &lt;3% of body carbon in the YSCBW and &lt;10% outside the YSCBW. However, based on estimates of clearance rates, C. sinicus feeds actively whether in the YSCBW or not, so the low ingestion rates probably reflect shortage of food. Oxygen consumption rates of C. sinicus ranged from 0.21 to 0.84 mul O-2 ind.(-1) h(-1), with high rates often associated with high temperature. From the oxygen consumption rates, daily loss of body carbon was estimated to be 4.0-13.7%, which exceeds our estimates of their carbon ingestion rates. C. sinicus was probably not in diapause, either within or outside the YSCBW, but this cold-water layer provides C. sinicus with a refuge to live through the hot, low-food summer.</t>
  </si>
  <si>
    <t>Chinese Acad Sci, Inst Oceanol, Key Lab Marine Ecol &amp; Environm Sci, Qingdao 266071, Peoples R China</t>
  </si>
  <si>
    <t>Chinese Academy of Sciences; Institute of Oceanology, CAS</t>
  </si>
  <si>
    <t>Chinese Acad Sci, Inst Oceanol, Key Lab Marine Ecol &amp; Environm Sci, 7 Nanhai Rd, Qingdao 266071, Peoples R China.</t>
  </si>
  <si>
    <t>lcl@ms.qdio.ac.cn</t>
  </si>
  <si>
    <t>Li, Chao/GSM-8117-2022</t>
  </si>
  <si>
    <t>Li, Chao/0000-0001-6110-6210; Li, Chaolun/0000-0003-1890-0587</t>
  </si>
  <si>
    <t>10.1007/s00227-004-1306-x</t>
  </si>
  <si>
    <t>833VV</t>
  </si>
  <si>
    <t>WOS:000222369500015</t>
  </si>
  <si>
    <t>Watson, DI; Barnes, DKA</t>
  </si>
  <si>
    <t>Temporal and spatial components of variability in benthic recruitment, a 5-year temperate example</t>
  </si>
  <si>
    <t>COMMUNITY STRUCTURE; FOULING COMMUNITY; EPIFAUNAL ASSEMBLAGES; MARINE-INVERTEBRATES; ARTIFICIAL SUBSTRATA; INTERTIDAL BARNACLES; LARVAL SETTLEMENT; FISH STOCKS; LOUGH INE; PATTERNS</t>
  </si>
  <si>
    <t>Deployment of artificial substrata is a common method of investigating early community development and recruitment, but rarely are such experiments of long enough duration to include even year time scales. We placed replicate, machined-slate panels (15x15 cm) in the intertidal and at depths of 6 and 12 m at two sites of differing flow rate at Lough Hyne, SW Ireland. These were serially replaced every 30-60 days for a period of 5 years (1997-2002), except in the intertidal (2000-2002). The number and identity of all recruits were recorded. Recruitment varied over several orders of magnitude both on temporal and spatial scales. The greatest source of variability was between the intertidal (with few species or recruit numbers) and the subtidal zones (many species, some with thousands of recruits per panel per 30 days). Highest levels of recruitment occurred at the low-flow site (Labhra Cliff). Here, recruitment was dominated by the serpulid polychaete, Pomatoceros sp., reaching similar to4000 individuals per panel per 30 days. Highest species richness occurred, however, at the high flow site (Whirlpool Cliff). At this site more colonial forms (e.g. bryozoans) settled. Season was found to be the dominant pattern explaining subtidal recruit and species number variability. Year, however, was the dominant temporal pattern explaining change in diversity (Shannon-Wiener H'). In space, depth explained most variability of recruit numbers, whereas site explained more variation in species richness. Both these spatial factors contributed similarly to variability of diversity (H'). Recruitment has long been known to vary considerably over large spatial scales, such as with latitude and isolation, but we that show changes of a similar magnitude in recruitment can occur across small spatial scales. Individual taxa showed varied temporal patterns of recruitment including continuous, regular seasonal fluctuations and irregular pulses in particular years.</t>
  </si>
  <si>
    <t>Natl Univ Ireland Univ Coll Cork, Dept Zool Ecol &amp; Plant Sci, Cork, Ireland; British Antarctic Survey, NERC, Cambridge CB3 0ET, England</t>
  </si>
  <si>
    <t>Natl Univ Ireland Univ Coll Cork, Dept Zool Ecol &amp; Plant Sci, Cork, Ireland.</t>
  </si>
  <si>
    <t>dwatson0373@hotmail.com</t>
  </si>
  <si>
    <t>10.1007/s00227-003-1291-5</t>
  </si>
  <si>
    <t>WOS:000222369500020</t>
  </si>
  <si>
    <t>Southwell, C; de la Mare, B; Borchers, D; Burt, L</t>
  </si>
  <si>
    <t>Shipboard line transect surveys of crabeater seal abundance in the pack-ice off east Antarctica: Evaluation of assumptions</t>
  </si>
  <si>
    <t>crabeater seal; Lobodon carcinophaga; density estimation; evaluation; line transect sampling; independent observer; shipboard survey</t>
  </si>
  <si>
    <t>WEDDELL SEA; MARINE MAMMALS; BEHAVIOR; DENSITY; CENSUS</t>
  </si>
  <si>
    <t>We examine the extent to which the assumptions underlying line transect sampling are satisfied in shipboard surveys of crabeater seals (Lobodon carcinophaga) hauled out on the Antarctic pack-ice. Measurement of the perpendicular distance of seal groups from the ship with an electronic inclinometer fitted to a rifle stock was unbiased. Crabeater seals showed little movement in response to the approaching ship. Movement away from the ship by seals close to the ship's track was partially responsible for a relative lack of sightings close to the transect-line, but otherwise had little effect on the sighting histogram. Minor deviations from the transect direction to avoid running over seals violated the assumption of uniform distribution of groups, and contributed to a relative lack in sightings close to (&lt;40 m) the transect-line. We estimate that 5%-10% of seal groups close to the transect-line were not sighted by bridge observers prior to passing abeam of the ship, but most of these missed groups were likely to have been sighted some distance behind-abeam. Shipboard transects provided a biased sample of four environmental features known to be related to crabeater seal abundance because of logistical difficulties in the ship traversing along straight transects through thick ice. Calculation of transect length L from successive GPS locations was mildly sensitive to the frequency of locations. We provide analytical recommendations to reduce or eliminate the effect of assumption violation when present and hence minimize bias in abundance estimation.</t>
  </si>
  <si>
    <t>Australian Antarctic Div, Kingston, Tas 7050, Australia; Univ St Andrews, Sch Math &amp; Stat, St Andrews KY16 9SS, Fife, Scotland</t>
  </si>
  <si>
    <t>Australian Antarctic Division; University of St Andrews</t>
  </si>
  <si>
    <t>Simon Fraser Univ, Sch Resource &amp; Environm Management, Burnaby, BC V5A 1S6, Canada.</t>
  </si>
  <si>
    <t>, David/X-5730-2019</t>
  </si>
  <si>
    <t>Borchers, David/0000-0002-3944-0754</t>
  </si>
  <si>
    <t>1748-7692</t>
  </si>
  <si>
    <t>10.1111/j.1748-7692.2004.tb01182.x</t>
  </si>
  <si>
    <t>842ON</t>
  </si>
  <si>
    <t>WOS:000223013800016</t>
  </si>
  <si>
    <t>Managing Antarctic tourism</t>
  </si>
  <si>
    <t>841OK</t>
  </si>
  <si>
    <t>WOS:000222939800006</t>
  </si>
  <si>
    <t>Ahn, IY; Chung, KH; Choi, HJ</t>
  </si>
  <si>
    <t>Influence of glacial runoff on baseline metal accumulation in the Antarctic limpet Nacella concinna from King George Island</t>
  </si>
  <si>
    <t>HEAVY-METALS; TRACE-METALS; STREBEL; BAY; REPRODUCTION; INDICATORS; GROWTH; SHELL; SIZE</t>
  </si>
  <si>
    <t>Korea Polar Res Inst, Korea Ocean Res &amp; Dev Inst, Seoul 425600, South Korea</t>
  </si>
  <si>
    <t>Korea Polar Research Institute (KOPRI); Korea Institute of Ocean Science &amp; Technology (KIOST)</t>
  </si>
  <si>
    <t>Korea Polar Res Inst, Korea Ocean Res &amp; Dev Inst, POB 29, Seoul 425600, South Korea.</t>
  </si>
  <si>
    <t>iahn@kordi.re.kr</t>
  </si>
  <si>
    <t>10.1016/j.marpolbul.2004.03.008</t>
  </si>
  <si>
    <t>WOS:000222939800025</t>
  </si>
  <si>
    <t>Antarctic exploration reveals earth's secret history</t>
  </si>
  <si>
    <t>MATERIALS WORLD</t>
  </si>
  <si>
    <t>I O M COMMUNICATIONS LTD INST MATERIALS</t>
  </si>
  <si>
    <t>1 CARLTON HOUSE TERRACE, LONDON SW1Y 5DB, ENGLAND</t>
  </si>
  <si>
    <t>0967-8638</t>
  </si>
  <si>
    <t>MATER WORLD</t>
  </si>
  <si>
    <t>Mater. World</t>
  </si>
  <si>
    <t>Materials Science, Ceramics; Materials Science, Multidisciplinary; Metallurgy &amp; Metallurgical Engineering</t>
  </si>
  <si>
    <t>Materials Science; Metallurgy &amp; Metallurgical Engineering</t>
  </si>
  <si>
    <t>844XQ</t>
  </si>
  <si>
    <t>WOS:000223194800013</t>
  </si>
  <si>
    <t>Erokhina, LG; Shatilovich, AV; Kaminskaya, OP; Gilichinskii, DA</t>
  </si>
  <si>
    <t>Spectral properties of the green alga Trebouxia, a phycobiont of cryptoendolithic lichens in the Antarctic dry valley</t>
  </si>
  <si>
    <t>MICROBIOLOGY</t>
  </si>
  <si>
    <t>Antarctica; sandstone; phycobiont; cryptoendolithic lichens; Trebouxia; absorption spectra; second-derivative absorption spectra; low-temperature fluorescence spectra</t>
  </si>
  <si>
    <t>PLANTS</t>
  </si>
  <si>
    <t>An algologically pure culture of the green alga Trebouxia, a phycobiont of cryptoendolithic lichens, was isolated from sandstone samples collected in the high-altitude polar regions of Antarctica. The absorption and second-derivative absorption spectra of acetone extract of the Antarctic phycobiont cells were studied in comparison with those of a Trebouxia phycobiont isolated recently from a Parmeliaceae lichen in the Mid-European climatic zone. The cells of the Antarctic phycobiont were characterized by a lower content of chlorophyll a and a higher ratio of chlorophyll b and carotenoids to chlorophyll a as compared to the Mid-European phycobiont. Furthermore, the carotenoids of the Antarctic phycobiont were more diverse. The low-temperature fluorescence spectra of the Antarctic phycobiont were characterized by an increased intensity of the short-wavelength fluorescence peak of chlorophyll a and a diminished intensity of fluorescence in the long-wavelength spectral region.</t>
  </si>
  <si>
    <t>Russian Acad Sci, Inst Basic Biol Problems, Pushchino 142290, Moscow Oblast, Russia; Russian Acad Sci, Inst Physicochem &amp; Biol Problems Soil Sci, Pushchino 142290, Moscow Oblast, Russia</t>
  </si>
  <si>
    <t>Russian Academy of Sciences; Russian Academy of Sciences; Pushchino Scientific Center for Biological Research (PSCBI) of the Russian Academy of Sciences; Institute of Physicohemical &amp; Biological Problems of Soil Science</t>
  </si>
  <si>
    <t>Erokhina, LG (corresponding author), Russian Acad Sci, Inst Basic Biol Problems, Pushchino 142290, Moscow Oblast, Russia.</t>
  </si>
  <si>
    <t>Shatilovich, Anastasia/J-6013-2018</t>
  </si>
  <si>
    <t>Shatilovich, Anastasia/0000-0003-1858-0114</t>
  </si>
  <si>
    <t>0026-2617</t>
  </si>
  <si>
    <t>MICROBIOLOGY+</t>
  </si>
  <si>
    <t>10.1023/B:MICI.0000036987.18559.1f</t>
  </si>
  <si>
    <t>849RS</t>
  </si>
  <si>
    <t>WOS:000223558900011</t>
  </si>
  <si>
    <t>Spectral properties of ancient green algae from Antarctic Dry Valley permafrost</t>
  </si>
  <si>
    <t>Russian Acad Sci, Inst Fundamental Problems Biol, Pushchino 142290, Moscow Oblast, Russia; Russian Acad Sci, Inst Physiochem &amp; Biol Problems Soil Sci, Pushchino 142290, Moscow Oblast, Russia</t>
  </si>
  <si>
    <t>Russian Academy of Sciences; Pushchino Scientific Center for Biological Research (PSCBI) of the Russian Academy of Sciences; Russian Academy of Sciences; Pushchino Scientific Center for Biological Research (PSCBI) of the Russian Academy of Sciences; Institute of Physicohemical &amp; Biological Problems of Soil Science</t>
  </si>
  <si>
    <t>Erokhina, LG (corresponding author), Russian Acad Sci, Inst Fundamental Problems Biol, Pushchino 142290, Moscow Oblast, Russia.</t>
  </si>
  <si>
    <t>10.1023/B:MICI.0000036996.39439.a0</t>
  </si>
  <si>
    <t>WOS:000223558900020</t>
  </si>
  <si>
    <t>Goodchild, A; Saunders, NFW; Ertan, H; Raftery, M; Guilhaus, M; Curmi, PMG; Cavicchioli, R</t>
  </si>
  <si>
    <t>A proteomic determination of cold adaptation in the Antarctic archaeon, Methanococcoides burtonii</t>
  </si>
  <si>
    <t>MOLECULAR MICROBIOLOGY</t>
  </si>
  <si>
    <t>METHANOSARCINA-BARKERI; RNA-POLYMERASE; HYPERTHERMOPHILIC ARCHAEUM; METHANOGENIUM-FRIGIDUM; ACE LAKE; PROTEIN; STRESS; ICE; METHYLTRANSFERASE; EXTREMOPHILES</t>
  </si>
  <si>
    <t>A global view of the biology of the cold-adapted archaeon Methanococcoides burtonii was achieved using proteomics. Proteins specific to growth at 4degreesC versus T-opt (23degreesC) were identified by mass spectrometry using the draft genome sequence of M. burtonii. mRNA levels were determined for all genes identified by proteomics, and specific enzyme assays confirmed the protein expression results. Key aspects of cold adaptation related to transcription, protein folding and metabolism, including specific roles for RNA polymerase subunit E, a response regulator and peptidyl prolyl cis/trans isomerase. Heat shock protein DnaK was expressed during growth at T-opt, indicating that growth at 'optimal' temperatures was stressful for this cold-adapted organism. Expression of trimethylamine methyltransferase involves contiguous translation of two open reading frames, which is likely to result from incorporation of pyrrolysine at an amber stop codon. Thermal regulation in M. burtonii is achieved through complex gene expression events involving gene clusters and operons, through to protein modifications.</t>
  </si>
  <si>
    <t>Univ New S Wales, Sch Biotechnol &amp; Biomol Sci, Sydney, NSW 2052, Australia; Istanbul Univ, Dept Mol Biol &amp; Genet, TR-34459 Istanbul, Turkey; Univ New S Wales, Bioanalyt Mass Spectrometry Facil, Sydney, NSW 2052, Australia; Univ New S Wales, Sch Phys, Sydney, NSW 2052, Australia; St Vincents Hosp, Ctr Immunol, Sydney, NSW 2010, Australia</t>
  </si>
  <si>
    <t>University of New South Wales Sydney; Istanbul University; University of New South Wales Sydney; University of New South Wales Sydney; NSW Health; St Vincents Hospital Sydney</t>
  </si>
  <si>
    <t>Saunders, Neil FW/B-5325-2010; Curmi, Paul/G-7185-2011; Cavicchioli, Ricardo/D-4341-2013</t>
  </si>
  <si>
    <t>Saunders, Neil/0000-0003-2139-6107; Curmi, Paul/0000-0001-5762-7638; Cavicchioli, Ricardo/0000-0001-8989-6402</t>
  </si>
  <si>
    <t>0950-382X</t>
  </si>
  <si>
    <t>1365-2958</t>
  </si>
  <si>
    <t>MOL MICROBIOL</t>
  </si>
  <si>
    <t>Mol. Microbiol.</t>
  </si>
  <si>
    <t>10.1111/j.1365-2958.2004.04130.x</t>
  </si>
  <si>
    <t>Biochemistry &amp; Molecular Biology; Microbiology</t>
  </si>
  <si>
    <t>831PX</t>
  </si>
  <si>
    <t>WOS:000222208100027</t>
  </si>
  <si>
    <t>Fallon, LD; Kriwoken, LK</t>
  </si>
  <si>
    <t>International influence of an Australian nongovernment organization in the protection of Patagonian toothfish</t>
  </si>
  <si>
    <t>OCEAN DEVELOPMENT AND INTERNATIONAL LAW</t>
  </si>
  <si>
    <t>CCAMLR; fisheries management; IUU fishing; nongovernmental organization; Southern Ocean</t>
  </si>
  <si>
    <t>SOUTHERN-OCEAN; FISHERIES; CCAMLR; ECOSYSTEM</t>
  </si>
  <si>
    <t>Soviet Union fishing fleets found Patagonian toothfish in 1985 off the Kerguelen Islands in the Southern Ocean. In a few short years, toothfish became heavily fished and the viability of the fishery was put in question. This pressure largely arose from illegal, unreported, and unregulated (IUU) fishing that undermined fisheries management by coastal states and the Convention for the Conservation of Antarctic Marine Living Resources (CCAMLR) Commission. The International Southern Oceans Longline Fisheries Information Clearing House (ISOFISH), based in Hobart, Tasmania, Australia, raised awareness about IUU fishing among governments, fishers, and the community. This article presents a case study of ISOFISH and the influence this nongovernment organization coalition exerted on the international community, including the deep-sea fishing industry, governments, and CCAMLR members, in an effort to protect toothfish stocks and reduce the incidental mortality of endangered seabirds and other nontarget marine species from longlining activities.</t>
  </si>
  <si>
    <t>Univ Tasmania, Ctr Environm Studies, Hobart, Tas 7001, Australia; Univ Tasmania, Antarctic Cooperat Res Ctr, Hobart, Tas 7001, Australia</t>
  </si>
  <si>
    <t>Fallon, LD (corresponding author), Univ Tasmania, Ctr Environm Studies, Private Bag 78, Hobart, Tas 7001, Australia.</t>
  </si>
  <si>
    <t>lfallon@utas.edu.au</t>
  </si>
  <si>
    <t>325 CHESTNUT ST, SUITE 800, PHILADELPHIA, PA 19106 USA</t>
  </si>
  <si>
    <t>0090-8320</t>
  </si>
  <si>
    <t>OCEAN DEV INT LAW</t>
  </si>
  <si>
    <t>Ocean Dev. Int. Law</t>
  </si>
  <si>
    <t>10.1080/00908320490467323</t>
  </si>
  <si>
    <t>837KJ</t>
  </si>
  <si>
    <t>Green Accepted, Green Published</t>
  </si>
  <si>
    <t>WOS:000222628300002</t>
  </si>
  <si>
    <t>Golivets, SV; Koshlyakov, MN</t>
  </si>
  <si>
    <t>Eddy formation at the sub-antarctic front from satellite observations and formation of the antarctic intermediate water</t>
  </si>
  <si>
    <t>A concept of the formation of the Antarctic Intermediate Water due to the decay of cyclonic eddies at the Sub-Antarctic Front [1] is tested for the Pacific Ocean by analyzing the satellite altimetric observations. The eddy formation at the Sub-Antarctic Front was shown to maintain the minimum salinity in the Antarctic Intermediate Water at approximately 70%.</t>
  </si>
  <si>
    <t>Russian Acad Sci, Shirshov Inst Oceanol, Moscow, Russia</t>
  </si>
  <si>
    <t>Golivets, SV (corresponding author), Russian Acad Sci, Shirshov Inst Oceanol, Moscow, Russia.</t>
  </si>
  <si>
    <t>1531-8508</t>
  </si>
  <si>
    <t>850GQ</t>
  </si>
  <si>
    <t>WOS:000223599600001</t>
  </si>
  <si>
    <t>Chapelle, G; Peck, LS</t>
  </si>
  <si>
    <t>Amphipod crustacean size spectra: new insights in the relationship between size and oxygen</t>
  </si>
  <si>
    <t>BODY-SIZE; CELL-SIZE; SPECIES-DIVERSITY; FRESH-WATER; DROSOPHILA; TEMPERATURE; PATTERNS; DISTRIBUTIONS; ASSEMBLAGES; ABUNDANCE</t>
  </si>
  <si>
    <t>Oxygen availability limits the maximum potential size attainable in benthic gammaridean amphipods from the suborder to the generic level, while also influencing size within species. In this paper we investigate the effect of oxygen on 15 size spectra worldwide, established by compiling maximum length data of more than 2000 amphipod species. We used TS95/5 as a proxy for maximum size and defined this as the threshold size between the 95% smallest and the 5% largest species at any given site. Our data show that beside TS95/5, minimum, mean and modal sizes, as well as all 10% increment threshold sizes (from TS10/90 to TS90/10) also vary significantly with oxygen concentration. Size distributions are very similar in shape from one geographical area to another, whatever the width of the spectrum, hence if overall numbers of species stay constant more small species should coexist at low than at high latitudes. No amphipod species were found in water with an oxygen content lower than the minimum requirement predicted (175 mmol O-2 kg(-1)). Our data also show that minimum adult amphipod size is probably limited by the minimum possible egg size, whereas maximum size is set by the physico-chemic ceiling of oxygen availability.</t>
  </si>
  <si>
    <t>Inst Royal Sci Nat Belgique, BE-1000 Brussels, Belgium; British Antarctic Survey, Cambridge CB3 0ET, England</t>
  </si>
  <si>
    <t>Inst Royal Sci Nat Belgique, Rue Vautier 29, BE-1000 Brussels, Belgium.</t>
  </si>
  <si>
    <t>10.1111/j.0030-1299.2004.12934.x</t>
  </si>
  <si>
    <t>821CV</t>
  </si>
  <si>
    <t>WOS:000221438300018</t>
  </si>
  <si>
    <t>Doyle, P; Shakides, EV</t>
  </si>
  <si>
    <t>The Jurassic belemnite suborder Belemnotheutina</t>
  </si>
  <si>
    <t>PALAEONTOLOGY</t>
  </si>
  <si>
    <t>Jurassic; belemnites; Belemnoidea; Belemnotheutina; Belemnotheutis; Antarctiteuthis gen. nov.; Antarctica</t>
  </si>
  <si>
    <t>ANTARCTIC PENINSULA REGION</t>
  </si>
  <si>
    <t>The Belemnotheutina is a monophyletic group of mostly late Jurassic belemnites that possess largely plesiomorphic characters of ten subequal arms with hooks, a simple, conical, rostrum, a narrow breviconic phragmocone and a spatulate pro-ostracum. Although some of the best-preserved belemnites with soft parts have been described from this group, until recently, its status has been in question. A new genus from the Upper Jurassic of Antarctica, Antarctiteuthis is described which, like Acanthoteuthis (= Belemnotheutis of authors), possesses unique rostral surface morphology of raised ridges with accompanying grooves unknown in other true belemnites. This is an important apomorphy for the group, which is considered to be a monophyletic suborder of the Belemnitida.</t>
  </si>
  <si>
    <t>UCL, Dept Earth Sci, London WC1E 6BT, England; Univ Greenwich Medway, Dept Earth &amp; Environm Sci, Chatham ME4 4AW, Kent, England</t>
  </si>
  <si>
    <t>University of London; University College London; University of Greenwich</t>
  </si>
  <si>
    <t>Doyle, P (corresponding author), UCL, Dept Earth Sci, Gower St, London WC1E 6BT, England.</t>
  </si>
  <si>
    <t>peter.doyle@ucl.ac.uk</t>
  </si>
  <si>
    <t>0031-0239</t>
  </si>
  <si>
    <t>10.1111/j.0031-0239.2004.00395.x</t>
  </si>
  <si>
    <t>838AG</t>
  </si>
  <si>
    <t>WOS:000222682400009</t>
  </si>
  <si>
    <t>Robinson, RS; Brunelle, BG; Sigman, DM</t>
  </si>
  <si>
    <t>Revisiting nutrient utilization in the glacial Antarctic: Evidence from a new method for diatom-bound N isotopic analysis</t>
  </si>
  <si>
    <t>nutrient status; glacial/interglacial; Antarctic</t>
  </si>
  <si>
    <t>ATMOSPHERIC CO2 CONCENTRATIONS; SOUTHERN-OCEAN; HIGH-LATITUDE; BIOLOGICAL PRODUCTIVITY; EQUATORIAL PACIFIC; NITROGEN ISOTOPE; NORTH PACIFIC; ICE CORE; SURFACE; NITRATE</t>
  </si>
  <si>
    <t>[ 1] Isotopic measurements of diatom-bound nitrogen, using a wet chemical oxidation combined with the denitrifier'' method for nitrate analysis, show significant offsets from previously published combustion-based measurements. This offset is attributed to a gaseous nitrogen blank associated with the diatom's opal frustule. Moreover, experimentation with multiple chemical cleaning protocols demonstrates that diatom microfossils from the clay-rich sediments of the glacial Antarctic are more difficult to clean than Holocene materials. New downcore profiles from the Antarctic show no change in the diatom-bound N N-15/N-14 between the last glacial and the Holocene in the Atlantic sector, and the elevation of glacial diatom-bound N-15/N-14 relative to the Holocene in the Indian sector is smaller than in previous measurements. These data suggest no change in the degree of nitrate utilization in the Atlantic sector and at most a 20% increase ( from similar to 25 to 45%) in the Indian sector. The new measurements suggest that, during the last ice age in the Atlantic sector of the Antarctic, the atmospheric source of biologically available iron was not so great as to become significant relative to the iron supply from below. Given the apparent spatial variability in the degree of nitrate drawdown, more work is required to develop an adequate picture of the glacial Antarctic nutrient field.</t>
  </si>
  <si>
    <t>rebeccar@princeton.edu</t>
  </si>
  <si>
    <t>Sigman, Daniel M./A-2649-2008; Sigman, Daniel M./IYJ-2613-2023</t>
  </si>
  <si>
    <t>Sigman, Daniel M./0000-0002-7923-1973; Robinson, Rebecca/0000-0002-8072-1603</t>
  </si>
  <si>
    <t>PA3001</t>
  </si>
  <si>
    <t>10.1029/2003PA000996</t>
  </si>
  <si>
    <t>839OB</t>
  </si>
  <si>
    <t>WOS:000222793300001</t>
  </si>
  <si>
    <t>Akimov, YK</t>
  </si>
  <si>
    <t>Cherenkov detectors in particle physics</t>
  </si>
  <si>
    <t>PHYSICS OF ATOMIC NUCLEI</t>
  </si>
  <si>
    <t>UNDERWATER NEUTRINO TELESCOPE; ENERGY NEUTRINOS; ANTARCTIC ICE; PERFORMANCE; DEEP</t>
  </si>
  <si>
    <t>The most impressive examples of the application of Cherenkov detectors in modern-physics experiments are considered. (C) 2004 MAIK Nauka/Interperiodica.</t>
  </si>
  <si>
    <t>Joint Inst Nucl Res, Dubna 141980, Moscow Oblast, Russia</t>
  </si>
  <si>
    <t>Joint Institute for Nuclear Research - Russia</t>
  </si>
  <si>
    <t>Joint Inst Nucl Res, Dubna 141980, Moscow Oblast, Russia.</t>
  </si>
  <si>
    <t>1063-7788</t>
  </si>
  <si>
    <t>1562-692X</t>
  </si>
  <si>
    <t>PHYS ATOM NUCL+</t>
  </si>
  <si>
    <t>Phys. Atom. Nuclei</t>
  </si>
  <si>
    <t>10.1134/1.1777294</t>
  </si>
  <si>
    <t>Physics, Nuclear; Physics, Particles &amp; Fields</t>
  </si>
  <si>
    <t>846ZG</t>
  </si>
  <si>
    <t>WOS:000223357700017</t>
  </si>
  <si>
    <t>Fraser, KPP; Peck, LS; Clarke, A</t>
  </si>
  <si>
    <t>Protein synthesis, RNA concentrations, nitrogen excretion, and metabolism vary seasonally in the Antarctic holothurian Heterocucumis steineni (Ludwig 1898)</t>
  </si>
  <si>
    <t>PHYSIOLOGICAL AND BIOCHEMICAL ZOOLOGY</t>
  </si>
  <si>
    <t>LIMPET NACELLA-CONCINNA; OXYGEN-CONSUMPTION; FEEDING-ACTIVITY; RAINBOW-TROUT; BIOCHEMICAL-COMPOSITION; AMMONIA EXCRETION; GROWTH-RATES; STREBEL 1908; BODY-SIZE; TISSUES</t>
  </si>
  <si>
    <t>Seasonal changes in protein and nitrogen metabolism have not previously been reported in any Antarctic suspension-feeding species that ceases feeding for extended periods in winter. To provide comparison with data reported on Nacella concinna, a species that continues to feed in winter, we have measured feeding activity; oxygen consumption; ammonia, urea, and fluorescamine-positive substance (FPS) excretion; O:N ratios; body wall protein synthesis; RNA to protein ratios; and RNA activity at three times during the year in an Antarctic suspension-feeding holothurian. Feeding activity ceased for 4 mo during winter, and oxygen consumption rates decreased from 8.79+/-0.43 mumol h(-1) to 4.48+/-0.34 mumol h(-1). Ammonia excretion also decreased during winter from 2,600+/-177 nmol N h(-1) to 974+/-70 nmol N h(-1), but urea excretion rates increased from 178+/-36 nmol N h(-1) to 281+/-110 nmol N h(-1), while FPS excretion rates remained unchanged throughout the year with a seasonal mean of 88+/-13 nmol N h(-1). Oxygen to nitrogen ratios ranged between 6 and 10, suggesting that proteins were used as the primary metabolic substrate. Body wall protein synthesis rates decreased from 0.35%+/-0.03% d(-1) in summer to 0.23% d(-1) in winter, while RNA to protein ratios decreased from 33.10+/-1.0 mug RNA mg(-1) protein in summer to 27.88+/-1.3 mug RNA mg(-1) protein in winter, and RNA activity was very low, ranging between 0.11+/-0.01 mg protein mg(-1) RNA d(-1) in summer and 0.06+/-0.01 mg protein mg(-1) RNA d(-1) in winter. Heterocucumis steineni shows a larger seasonal decrease in oxygen consumption and ammonia excretion between February (summer) and July (winter) than N. concinna, while the proportional decrease in protein synthesis rates is similar in both species.</t>
  </si>
  <si>
    <t>Fraser, KPP (corresponding author), British Antarctic Survey, NERC, Div Biol Sci, High Cross,Madingley Rd, Cambridge CB3 0ET, England.</t>
  </si>
  <si>
    <t>kppf@pcmail.nerc-bas.ac.uk</t>
  </si>
  <si>
    <t>1522-2152</t>
  </si>
  <si>
    <t>PHYSIOL BIOCHEM ZOOL</t>
  </si>
  <si>
    <t>Physiol. Biochem. Zool.</t>
  </si>
  <si>
    <t>10.1086/420949</t>
  </si>
  <si>
    <t>Physiology; Zoology</t>
  </si>
  <si>
    <t>861JL</t>
  </si>
  <si>
    <t>WOS:000224412700002</t>
  </si>
  <si>
    <t>Rutishauser, MR; Costa, DP; Goebel, ME; Williams, TM</t>
  </si>
  <si>
    <t>Ecological implications of body composition and thermal capabilities in young Antarctic fur seals (Arctocephalus gazella)</t>
  </si>
  <si>
    <t>SOUTHERN ELEPHANT SEALS; LIFE-HISTORY PARAMETERS; CALLORHINUS-URSINUS; EUMETOPIAS-JUBATUS; MIROUNGA-ANGUSTIROSTRIS; DECLINING POPULATION; MILK CONSUMPTION; DIVING BEHAVIOR; ENHYDRA-LUTRIS; METABOLIC-RATE</t>
  </si>
  <si>
    <t>In comparison with other homeotherms, young recently weaned marine mammals in high latitudes face exceptional energetic demands when foraging and thermoregulating. Lipids are an important source of energy and a major component of insulation that allows them to meet these demands. To examine the role of lipid stores in a high-latitude pinniped, we measured the body composition and thermoregulatory capabilities of Antarctic fur seal (Arctocephalus gazella) pups and yearlings by using flow-through respirometry and hydrogen isotope dilution. From these data, we constructed a model to examine the importance of postweaning fasting capability in free-ranging young fur seals. Resting metabolic rates were different for pups and yearlings measured in 0.6degreesC water, 10.3degreesC water, and ambient air; however, mass and percent lipid as covariates accounted for the different metabolic responses in pups and yearlings for all treatments. The estimated lower critical temperature for combined pups and yearlings was 14.4degreesC, 10degrees-15degreesC above water temperatures normally experienced by Antarctic fur seals. Modeling predicted that a weaned fur seal pup would survive at sea from 9.8 to 36.2 d before succumbing to starvation. The most likely maximum travel distance within this time constraint suggests that food resources close to the natal rookery are important to first-year survival for this species.</t>
  </si>
  <si>
    <t>Long Marine Lab, Santa Cruz, CA 95060 USA; Natl Marine Fisheries Serv, NOAA, Antarctic Ecosyst Res Div, La Jolla, CA 92038 USA</t>
  </si>
  <si>
    <t>National Oceanic Atmospheric Admin (NOAA) - USA</t>
  </si>
  <si>
    <t>Rutishauser, MR (corresponding author), Long Marine Lab, 100 Shaffer Rd, Santa Cruz, CA 95060 USA.</t>
  </si>
  <si>
    <t>rutishauser@biology.ucsc.edu</t>
  </si>
  <si>
    <t>Costa, Daniel Paul/E-2616-2013</t>
  </si>
  <si>
    <t>Costa, Daniel Paul/0000-0002-0233-5782</t>
  </si>
  <si>
    <t>10.1086/421749</t>
  </si>
  <si>
    <t>WOS:000224412700013</t>
  </si>
  <si>
    <t>Budge, SM; Cooper, MH; Iverson, SJ</t>
  </si>
  <si>
    <t>Demonstration of the deposition and modification of dietary fatty acids in pinniped blubber using radiolabelled precursors</t>
  </si>
  <si>
    <t>HYDROGEN-ISOTOPE-DILUTION; ANTARCTIC FUR SEALS; SOUTHERN ELEPHANT SEALS; SCOPHTHALMUS-MAXIMUS L; BODY-COMPOSITION; METABOLIC-RATE; HALICHOERUS-GRYPUS; PHOCA-GROENLANDICA; SIGNATURE ANALYSIS; DEFICIENT RATS</t>
  </si>
  <si>
    <t>Radioisotopes are commonly used to study the in vivo metabolism and deposition of dietary fatty acids in adipose tissue. The application of this approach to pinnipeds is problematic because of their large mass and blubber fat content. We have developed a method where labelled lipids can be fed to seals at financially feasible levels, with the radioactivity in individual fatty acids isolated from blubber detected with standard laboratory equipment. A combination of techniques including argentation thin layer chromatography, high performance liquid chromatography with ultraviolet detection, and independent liquid scintillation counting were employed. Juvenile gray seals (Halichoerus grypus) were fed either 0.5 mCi H-3-labelled triolein (18:1n-9, n=2) or palmitic acid (16:0, n=2). Blubber samples were taken 12 h later, and the radioactivity in individual fatty acids was determined. Radioactivity was detected in only 18:1 from the animals fed H-3-labelled triolein, indicating direct deposition without modification. Both animals fed H-3-labelled palmitic acid showed clear peaks of radioactivity in 16:0; however, there was also significant activity (23%-29%) found in the desaturation product 16:1. Our results demonstrate that this method is sufficiently sensitive to track the deposition of labelled dietary lipids as well as modification products of ingested fatty acids and will be important in the application of fatty acid signatures to study predator diets.</t>
  </si>
  <si>
    <t>Dalhousie Univ, Dept Biol, Halifax, NS B3H 4J1, Canada</t>
  </si>
  <si>
    <t>Dalhousie University</t>
  </si>
  <si>
    <t>Dalhousie Univ, Dept Biol, Halifax, NS B3H 4J1, Canada.</t>
  </si>
  <si>
    <t>mhcooper@dal.ca</t>
  </si>
  <si>
    <t>Budge, Suzanne/0000-0003-4984-7344; Iverson, Sara/0000-0003-2842-4094</t>
  </si>
  <si>
    <t>1537-5293</t>
  </si>
  <si>
    <t>10.1086/420945</t>
  </si>
  <si>
    <t>WOS:000224412700014</t>
  </si>
  <si>
    <t>da Silva, JRMC; Sinhorini, IL; Jensch, BE; Porto-Neto, LR; Hernadez-Blazquez, FJ; Vellutini, BC; Pressinotti, LN; Pinto, FAC; Cooper, EL; Borges, JCS</t>
  </si>
  <si>
    <t>Kinetics of induced wound repair at 0°C in the Antarctic fish (Cabecuda) Notothenia coriiceps</t>
  </si>
  <si>
    <t>ODONTASTER-VALIDUS KOEHLER; IN-VITRO PHAGOCYTOSIS; ELECTRON-MICROSCOPY; CICHLID FISH; TEMPERATURE; REGENERATION; BIMACULATUS; EPIDERMIS; TELEOST; SKIN</t>
  </si>
  <si>
    <t>Notothenia coriiceps were kept at 0+/-2degreesC. Following anaesthesia, a square excision (4 cm(2)) was made on the dorsal lateral anterior regions on both sides. The process of wound healing was monitored after 0, 1, 2, 7, 15, 23, 60 and 90 days. The wounds were processed for scanning electron microscopy. Following surgery, haemorrhage was abundant; after 24-48 h, the wound was covered by mucous exudes. At 7-15 days, there was an epidermal migration towards the centre of the wound, while the borders became oedematous. During 23-30 days, all the wounds were closed like a sphincter and there was retraction of the borders. After 60-90 days, the wounds contracted and became black. No scales were seen in the wounded area. The regenerating epidermis migration speed was 33.3-43.4 mum/day. This work shows for the first time the kinetics of wound repair at 0degreesC.</t>
  </si>
  <si>
    <t>Univ Sao Paulo, Inst Biomed Sci, Dept Histol &amp; Embryol, BR-04601000 Sao Paulo, Brazil; Univ Sao Paulo, Fac Med Vet, Dept Pathol, Sao Paulo, Brazil; Calif State Univ Los Angeles, David Geffen Sch Med, Dept Neurobiol, Lab Comparat Neuroimmunol, Los Angeles, CA 90095 USA; Univ Sao Paulo, Fac Vet Med, Dept Surg, Sao Paulo, Brazil</t>
  </si>
  <si>
    <t>Universidade de Sao Paulo; Universidade de Sao Paulo; California State University System; California State University Los Angeles; University of California System; University of California Los Angeles; University of California Los Angeles Medical Center; David Geffen School of Medicine at UCLA; Universidade de Sao Paulo</t>
  </si>
  <si>
    <t>Univ Sao Paulo, Inst Biomed Sci, Dept Histol &amp; Embryol, Av Prof Lineu Prestes 1524,Sala 409, BR-04601000 Sao Paulo, Brazil.</t>
  </si>
  <si>
    <t>jrmcs@usp.br</t>
  </si>
  <si>
    <t>Vellutini, Bruno C./H-3831-2019; Silva, J.R.M.C./H-7496-2016; Borges, João CS/B-9057-2012; Porto-Neto, Laercio/D-2594-2012</t>
  </si>
  <si>
    <t>Vellutini, Bruno C./0000-0002-0000-9465; Silva, J.R.M.C./0000-0002-1687-8526; Porto-Neto, Laercio/0000-0002-3536-8265; Shimada Borges, Joao Carlos/0000-0002-3947-4655</t>
  </si>
  <si>
    <t>10.1007/s00300-004-0611-7</t>
  </si>
  <si>
    <t>832AM</t>
  </si>
  <si>
    <t>WOS:000222239300002</t>
  </si>
  <si>
    <t>Hugo, EA; McGeoch, MA; Marshall, DJ; Chown, SL</t>
  </si>
  <si>
    <t>Fine scale variation in microarthropod communities inhabiting the keystone species Azorella selago on Marion Island</t>
  </si>
  <si>
    <t>SOUTHERN-OCEAN ISLANDS; MOSS-TURF HABITAT; ARTHROPOD COMMUNITIES; MIDALTITUDE FELLFIELD; CLIMATE-CHANGE; ABUNDANCE; MITES; CONSERVATION; INVERTEBRATE; LEPIDOPTERA</t>
  </si>
  <si>
    <t>Invertebrates contribute significantly to nutrient cycling on sub-Antarctic islands and thus their distribution patterns are of considerable interest. Few studies have, however, investigated the deterministic nature of fine-scale patterns in arthropod communities. This study investigated the relationship between the fine-scale distribution and abundance of mites (Acari: Arachnida) and springtails (Collembola: Hexapoda) in Azorella selago Hook. f. (Apiaceae) on Marion Island, and plant size, isolation, within-plant variability and epiphyte load. Microarthropod abundances were significantly higher on the southern, cold, dry, less frequently wind-blown sides of plants. Abundances were also significantly higher in association with the dominant epiphyte, a likely consequence of increased resource availability. No effects of cushion size or isolation on abundance or species richness were found. This study thus demonstrates that fine-scale variation in the microarthropod community is deterministic, a likely consequence of biotic and abiotic factors, and therefore of importance in the context of rapid climate change.</t>
  </si>
  <si>
    <t>Univ Stellenbosch, Dept Conservat Ecol, Spatial Physiol &amp; Conservat Ecol Grp, ZA-7602 Matieland, South Africa; Univ Brunei Darussalam, Dept Biol, Gadong 1410, Brunei; Univ Stellenbosch, Dept Zool, Spatial Physiol &amp; Conservat Ecol Grp, ZA-7602 Matieland, South Africa</t>
  </si>
  <si>
    <t>Stellenbosch University; University Brunei Darussalam; Stellenbosch University</t>
  </si>
  <si>
    <t>Univ Stellenbosch, Dept Conservat Ecol, Spatial Physiol &amp; Conservat Ecol Grp, Private Bag X1, ZA-7602 Matieland, South Africa.</t>
  </si>
  <si>
    <t>Chown, Steven/ABD-7646-2021; McGeoch, Melodie/F-8353-2011; Chown, Steven/H-3347-2011</t>
  </si>
  <si>
    <t>Hugo-Coetzee, Elizabeth/0000-0003-0525-9049; McGeoch, Melodie/0000-0003-3388-2241; Chown, Steven/0000-0001-6069-5105; Marshall, David/0000-0003-3771-5950</t>
  </si>
  <si>
    <t>10.1007/s00300-004-0614-4</t>
  </si>
  <si>
    <t>WOS:000222239300003</t>
  </si>
  <si>
    <t>Sun, LG; Liu, XD; Yin, XB; Zhu, RB; Xie, ZQ; Wang, YH</t>
  </si>
  <si>
    <t>A 1,500-year record of Antarctic seal populations in response to climate change</t>
  </si>
  <si>
    <t>SOUTH SHETLAND-ISLANDS; LATE-HOLOCENE; PENGUIN POPULATIONS; ORGANIC-MATTER; ICE EXTENT; SEDIMENTS; MARINE; KRILL; BAY; VARIABILITY</t>
  </si>
  <si>
    <t>The historical seal populations at King George Island, Antarctica, for the past 1,500 years, have beenauthor='Ann' time='20040309T120345+0100' data='were' estimated from the seal-hair abundance, bio-element concentrations, total organic carbon (TOC) and total nitrogen (TN) in one terrestrial sediment sequence influenced by seal excrement. Prior to human interference, the seal populations exhibited dramatic fluctuations with two peaks during 750-500 and 1400-1100 years before present (yr B.P.) and two troughs during 1100-750 and 500-200 yr B.P. A tentative comparison of the seal populations and historical climates in the Antarctic Peninsula region suggests that the seal populations may be linked to climate-related factors such as sea-ice coverage and atmospheric temperature.</t>
  </si>
  <si>
    <t>Chinese Acad Sci, Inst Earth Environm, Xian 710075, Shanxi, Peoples R China; Univ Sci &amp; Technol China, Inst Polar Environm, Hefei 230026, Anhui, Peoples R China</t>
  </si>
  <si>
    <t>Chinese Academy of Sciences; Institute of Earth Environment, CAS; Chinese Academy of Sciences; University of Science &amp; Technology of China, CAS</t>
  </si>
  <si>
    <t>Chinese Acad Sci, Inst Earth Environm, Xian 710075, Shanxi, Peoples R China.</t>
  </si>
  <si>
    <t>10.1007/s00300-004-0608-2</t>
  </si>
  <si>
    <t>WOS:000222239300006</t>
  </si>
  <si>
    <t>Quilty, PG; Goddard, PH</t>
  </si>
  <si>
    <t>The lower deck on Aurora:: H.V.!Goddard's diary, 1913-14</t>
  </si>
  <si>
    <t>Herbert Victor Goddard was second steward on the voyage of SY Aurora under Captain John King Davis, to retrieve Douglas Mawson and the remaining members of the Australasian Antarctic Expedition (AAE) from Commonwealth Bay in the summer of 1913-14. He kept a previously unpublished diary in pencil. He was on his first and only voyage working at sea and the diary records observations by an optimistic newcomer to the region. It gives the view of the voyage from eyes different from those of the leaders of the expedition, records the daily routine on-board and documents a few incidents not covered in the formal reports of the expedition.</t>
  </si>
  <si>
    <t>Univ Tasmania, Sch Earth Sci, Hobart, Tas 7001, Australia</t>
  </si>
  <si>
    <t>Quilty, PG (corresponding author), Univ Tasmania, Sch Earth Sci, Private Bag 79, Hobart, Tas 7001, Australia.</t>
  </si>
  <si>
    <t>10.1017/S003224740300336X</t>
  </si>
  <si>
    <t>892FH</t>
  </si>
  <si>
    <t>WOS:000226634900001</t>
  </si>
  <si>
    <t>Beck, PJ</t>
  </si>
  <si>
    <t>Twenty years on: the UN and the 'Question of Antarctica', 1983-2003</t>
  </si>
  <si>
    <t>The United Nations (UN) has now been involved with the 'Question of Antarctica' for 20 years. Divisions within the international community about the most appropriate form of management for Antarctica, which was presented to the UN as a region of global importance, have never completely disappeared, even if the restoration of a consensus approach during the mid- 1990s was based upon a broader appreciation of the merits of the Antarctic Treaty System. Both Antarctic Treaty Consultative Parties and non-Consultative Parties, pointing to the regime's enduring intrinsic qualities, have adopted an unyielding attitude towards Treaty outsiders advocating a more democratic, accountable, and transparent regime. Even so, the critical lobby, led by Dr Mahathir's Malaysian government, has never gone away. Initially, the 'Question of Antarctica' was discussed at the UN on all annual basis. but since 1996 it has been placed on a triennial reference. Following the most recent session in late 2002, the topic is scheduled to be placed on the UN's agenda again in 2005. This article reviews critically the key themes characterising the UN's involvement in the 'Question of Antarctica' since 1983, while using successive Polar Record articles on individual UN sessions to provide a framework of reference and an informed basis for further research on the topic.</t>
  </si>
  <si>
    <t>Kingston Univ, Fac Arts &amp; Social Sci, Kingston upon Thames KT1 2EE, Surrey, England</t>
  </si>
  <si>
    <t>Kingston University</t>
  </si>
  <si>
    <t>Beck, PJ (corresponding author), Kingston Univ, Fac Arts &amp; Social Sci, Kingston upon Thames KT1 2EE, Surrey, England.</t>
  </si>
  <si>
    <t>10.1017/S0032247403003371</t>
  </si>
  <si>
    <t>WOS:000226634900002</t>
  </si>
  <si>
    <t>O'Brien, JS; Todd, JJ; Kriwoken, LK</t>
  </si>
  <si>
    <t>Incineration of waste at Casey Station, Australian Antarctic Territory</t>
  </si>
  <si>
    <t>The Australian Antarctic Division manages four permanent stations in the sub-Antarctic and Antarctic. At each station a municipal waste incinerator is used to dispose of putrescible waste, wood, paper, cardboard, and plastics. Incineration significantly reduces the volume of waste but this combustion also emits toxic compounds. This study examined the waste incineration stream at Casey Station, Australian Antarctic Territory. The waste stream was sorted, burnt, and the incinerator emissions monitored. Twelve chemical compounds in gaseous emissions and heavy metals in the ash were measured. Results indicate that emissions of carbon monoxide are higher than one might expect from a small incinerator, and hydrocarbon emissions from the incinerator exceed combined hydrocarbon emissions from other sources on station. Arsenic and copper concentrations in ash, which is returned to Australia for disposal, exceed limits for hazardous waste disposal and so treatment would be required. Recommendations are provided on controlling source material in order to reduce or eliminate toxic emissions and undertaking incinerator maintenance to optimise combustion.</t>
  </si>
  <si>
    <t>Univ Tasmania, Ctr Environm Studies, Hobart, Tas 7001, Australia</t>
  </si>
  <si>
    <t>O'Brien, JS (corresponding author), Univ Tasmania, Ctr Environm Studies, Private Bag 78, Hobart, Tas 7001, Australia.</t>
  </si>
  <si>
    <t>10.1017/S003224740400347X</t>
  </si>
  <si>
    <t>WOS:000226634900004</t>
  </si>
  <si>
    <t>Whinam, J; Selkirk, PM; Downing, AJ; Hull, B</t>
  </si>
  <si>
    <t>Return of the megaherbs: plant colonisation of derelict ANARE station buildings on sub-Antarctic Heard Island</t>
  </si>
  <si>
    <t>Buildings were constructed and artefacts left behind on sub-Antarctic Heard Island, associated with Antarctic research expeditions since 1926. Both bryophytes and vascular plants are colonising many parts of the now derelict buildings. On these structures and artefacts, the authors recorded four species of vascular plants out of the 11 that occur on Heard Island and nine species of mosses out of the 37 recorded from Heard Island. The vascular plant species most frequently recorded colonising structures and artefacts was Pringlea antiscorbutica (288 occurrences), with the area colonised varying from 0.3 cm(2) to 430.0 cm(2). Muelleriella crassifolia was the moss species that was most frequently recorded (14 occurrences), colonising areas from 2.1 cm(2) to 12.9 cm(2). The highest number of bryophyte species (seven) was recorded on the stone and cement of the 'water tank.' Pringlea antiscorbutica, Poa cookii, Azorella selago, Muelleriella crass folia, Bryum dichotomun, Dicranoweisia brevipes and Schistidium apocarpum are all expected to continue to colonise the ANARE ruins. as well as areas that have become available since building removal and also possibly areas bared by further deglaciation.</t>
  </si>
  <si>
    <t>Dept Primary Ind Water &amp; Environm, Nat Conservat Branch, Hobart, Tas 7000, Australia; Macquarie Univ, Dept Sci Biol, Sydney, NSW 2109, Australia; Australian Antarctic Div, Kingston, Tas 7050, Australia</t>
  </si>
  <si>
    <t>Macquarie University; Australian Antarctic Division</t>
  </si>
  <si>
    <t>Whinam, J (corresponding author), Dept Primary Ind Water &amp; Environm, Nat Conservat Branch, Hobart, Tas 7000, Australia.</t>
  </si>
  <si>
    <t>10.1017/S0032247404003614</t>
  </si>
  <si>
    <t>WOS:000226634900005</t>
  </si>
  <si>
    <t>Norman, FI</t>
  </si>
  <si>
    <t>The East German East Antarctic Expedition, 1979-80</t>
  </si>
  <si>
    <t>A once-restricted report dealing with the first (and only) official East German Antarctic expedition to Prydz Bay, East Antarctica, is discussed. Members of 'die Ergebnisse der DDR-Erkundungsexpedition' (EREX 79/80) were in the Larsemann Hills during the 1979-80 season. From ground (17 January) and aerial examination (17 January, 8 February), a site on eastern Broknes was selected for a future station; proposed facilities and some EREX observations are presented. Implications and consequences of the visit are discussed in relation to subsequent station development in the Larsemann Hills.</t>
  </si>
  <si>
    <t>Univ New S Wales, Sch Phys Environm &amp; Math Sci, ADFA, Canberra, ACT 2600, Australia</t>
  </si>
  <si>
    <t>University of New South Wales Sydney; Australian Defense Force Academy</t>
  </si>
  <si>
    <t>Norman, FI (corresponding author), Univ New S Wales, Sch Phys Environm &amp; Math Sci, ADFA, Canberra, ACT 2600, Australia.</t>
  </si>
  <si>
    <t>lan.Norman@dse.vic.gov.au</t>
  </si>
  <si>
    <t>1475-3057</t>
  </si>
  <si>
    <t>10.1017/S003224740400364X</t>
  </si>
  <si>
    <t>WOS:000226634900007</t>
  </si>
  <si>
    <t>Shackleton, NJ; Fairbanks, RG; Chiu, TC; Parrenin, F</t>
  </si>
  <si>
    <t>Absolute calibration of the Greenland time scale:: implications for Antarctic time scales and for Δ14C</t>
  </si>
  <si>
    <t>HUON PENINSULA; ICE-CORE; OXYGEN-ISOTOPE; CLIMATE-CHANGE; LAST; EVENTS; SEA; CHRONOLOGY; TERRACES; RECORDS</t>
  </si>
  <si>
    <t>We propose a new age scale for the two ice cores (GRIP and GISP2) that were drilled at Greenland summit, based on accelerator mass spectrometry C-14 dating of foraminifera in core MD95-2042 (Paleoceanography 15 (2000) 565), calibrated by means of recently obtained paired 14 C and Th-230 measurements on pristine corals (Marine radiocarbon calibration curve spanning 10,500 to 50,000 years BP (thousand years before present) Based on paired Th-230/U-234/U-238 and C-14 dates on Pristine Corals Geological Society of America Bulletin. 2003, submitted for publication). The record of core MD95-2042 can be correlated very precisely to the Greenland ice cores. Between 30 and 40 ka BP our scale is 1.4 ka older than the GRIP SS09sea time scale (Journal of Quaternary Science 16 (2001) 299). At the older end of Marine Isotope Stage 3 we use published Th-230 dates from speleothems to calibrate the record. Using this scale we show a A 14 C record that is broadly consistent with the modelled record (Earth Planet. Sci. Lett. 200 (2002) 177) and with the data of Hughen et al. (Science 303 (2004) 202), but not consistent with the high values obtained by Beck et al. (Science 292 (2001) 2453) or by Voelker et al. (Radiocarbon 40 (1998) 517). We show how a set of age scales for the Antarctic ice cores can be derived that are both fully consistent with the Greenland scale, and glaciologically reasonable. (C) 2004 Elsevier Ltd. All rights reserved.</t>
  </si>
  <si>
    <t>Univ Cambridge, Godwin Inst, Dept Earth Sci, Godwin Lab, Cambridge CB2 3SA, England; Columbia Univ, Lamont Doherty Earth Observ, Palisades, NY 10964 USA; LEGOS, F-31401 Toulouse 9, France</t>
  </si>
  <si>
    <t>University of Cambridge; Columbia University; Universite de Toulouse; Universite Toulouse III - Paul Sabatier; Centre National de la Recherche Scientifique (CNRS); Institut de Recherche pour le Developpement (IRD); Laboratoire d'Etudes en Geophysique et oceanographie spatiales</t>
  </si>
  <si>
    <t>Univ Cambridge, Godwin Inst, Dept Earth Sci, Godwin Lab, New Museums Site,Pembroke St, Cambridge CB2 3SA, England.</t>
  </si>
  <si>
    <t>njs5@cam.ac.uk</t>
  </si>
  <si>
    <t>Parrenin, Frédéric/H-3054-2014</t>
  </si>
  <si>
    <t>Parrenin, Frédéric/0000-0002-9489-3991</t>
  </si>
  <si>
    <t>14-15</t>
  </si>
  <si>
    <t>10.1016/j.quascirev.2004.03.006</t>
  </si>
  <si>
    <t>834VH</t>
  </si>
  <si>
    <t>WOS:000222438500001</t>
  </si>
  <si>
    <t>De Clerck, E; Gevers, D; Sergeant, K; Rodríguez-Díaz, M; Herman, L; Logan, NA; Van Beeumen, J; De Vos, P</t>
  </si>
  <si>
    <t>Genomic and phenotypic comparison of Bacillus fumarioli isolates from geothermal Antarctic soil and gelatine</t>
  </si>
  <si>
    <t>RESEARCH IN MICROBIOLOGY</t>
  </si>
  <si>
    <t>Bacillus fumarioli; diversity; gelatine; Antarctica</t>
  </si>
  <si>
    <t>NORTHERN VICTORIA-LAND; SUBTRACTIVE HYBRIDIZATION; ESCHERICHIA-COLI; IDENTIFICATION; SEQUENCES; STRAINS; DNA; FUMAROLES; PROTEINS; BACTERIA</t>
  </si>
  <si>
    <t>Bacillus fumarioli was originally isolated from geothermal soils in continental and maritime Antarctica, and recently, it has been shown to be a frequent contaminant of gelatine extracts obtained from European and American production plants. These habitats are geographically widely separated, share similar temperature and pH conditions, but have substantially different organic loads. Because of the prevalence in gelatine extracts and the dissimilarity of this habitat to geothermal soil, a comparative study was performed to assess the diversity among B. fumarioli strains and reveal possible intraspecies differences that might correspond to their niches of origin. Genomic (rep-PCR, 16S rDNA sequencing, DNA-DNA hybridisations) and phenotypic techniques (analysis of fatty acid content, total cellular proteins, metabolic and morphological traits) illustrate the very close relationship between isolates from the two niches. An abundant protein band was demonstrated for gelatine isolates only. This band was shown to result from a protein with high similarity to a stress response protein. Furthermore, subtractive hybridisation revealed genomic differences between Antarctic and gelatine isolates that may indicate adaptive evolution to a specific environment. (C) 2004 Elsevier SAS. All rights reserved.</t>
  </si>
  <si>
    <t>Univ Ghent, Microbiol Lab, Dept Biochem Physiol &amp; Microbiol, B-9000 Ghent, Belgium; State Univ Ghent VIB, B-9052 Ghent, Belgium; Univ Ghent, Lab Prot Biochem &amp; Prot Engn, B-9000 Ghent, Belgium; Glasgow Caledonian Univ, Dept Biol &amp; Biomed Sci, Glasgow G4 0BA, Lanark, Scotland; DVK, Ctr Agr Res Ghent, Dept Anim Prod Qual &amp; Transformat Technol, B-9090 Melle, Belgium</t>
  </si>
  <si>
    <t>Ghent University; Ghent University; Flanders Institute for Biotechnology (VIB); Ghent University; Glasgow Caledonian University</t>
  </si>
  <si>
    <t>De Clerck, E (corresponding author), Univ Ghent, Microbiol Lab, Dept Biochem Physiol &amp; Microbiol, K-L Ledeganckstr 35, B-9000 Ghent, Belgium.</t>
  </si>
  <si>
    <t>Elke.DeClerck@Ugent.be</t>
  </si>
  <si>
    <t>Sergeant, Kjell/E-5419-2012; Gevers, Dirk/C-1451-2009; sergeant, kjell/M-9789-2015; De Vos, Paul/J-5392-2013; De Vos, Paul/JAX-4025-2023</t>
  </si>
  <si>
    <t>Sergeant, Kjell/0000-0003-2071-3510; sergeant, kjell/0000-0003-2071-3510;</t>
  </si>
  <si>
    <t>0923-2508</t>
  </si>
  <si>
    <t>RES MICROBIOL</t>
  </si>
  <si>
    <t>Res. Microbiol.</t>
  </si>
  <si>
    <t>10.1016/j.resmic.2004.02.007</t>
  </si>
  <si>
    <t>843NK</t>
  </si>
  <si>
    <t>WOS:000223090400009</t>
  </si>
  <si>
    <t>Bakunov, NA; Makeev, VM</t>
  </si>
  <si>
    <t>On differentiation of water bodies with respect to 90Sr accumulation by fish</t>
  </si>
  <si>
    <t>RUSSIAN JOURNAL OF ECOLOGY</t>
  </si>
  <si>
    <t>Sr-90; water body; fish; coefficient of accumulation; differentiation</t>
  </si>
  <si>
    <t>Bakunov, NA (corresponding author), Arctic &amp; Antarctic Res Inst, Ul Beringa 38, St Petersburg 199397, Russia.</t>
  </si>
  <si>
    <t>1067-4136</t>
  </si>
  <si>
    <t>RUSS J ECOL+</t>
  </si>
  <si>
    <t>Russ. J. Ecol.</t>
  </si>
  <si>
    <t>10.1023/B:RUSE.0000033799.26911.4d</t>
  </si>
  <si>
    <t>847MD</t>
  </si>
  <si>
    <t>WOS:000223396000013</t>
  </si>
  <si>
    <t>Ansorge, IJ; Froneman, PW; Lutjeharms, JRE; Bernard, K; Bernard, A; Lange, L; Lukác, D; Backeburg, B; Blake, J; Bland, S; Burls, N; Davies-Coleman, M; Gerber, R; Gildenhuys, S; Hayes-Foley, P; Ludford, A; Manzoni, T; Robertson, E; Southey, D; Swart, S; Van Rensburg, D; Wynne, S</t>
  </si>
  <si>
    <t>An interdisciplinary cruise dedicated to understanding ocean eddies upstream of the Prince Edward Islands</t>
  </si>
  <si>
    <t>ANTARCTIC CIRCUMPOLAR CURRENT; SOUTH; VARIABILITY; CIRCULATION; WATER</t>
  </si>
  <si>
    <t>A detailed hydrographic and biological survey was carried out in the region of the South-West Indian Ridge during, April 2004. Altimetry and hydrographic data have identified this region as an area of high flow variability. Hydrographic data revealed that here the Subantarctic Polar Front (SAF) and Antarctic Polar Front (APF) converge to form a highly intense frontal system. Water masses identified during the survey showed a distinct separation in properties between the northwestern and southeastern corners. In the north-west, water masses were distinctly Subantarctic (&gt; 8.5degreesC, salinity &gt; 34.2), suggesting that the SAT lay extremely far to the south. In the southeast corner water masses were typical of the Antarctic zone, showing a distinct subsurface temperature minimum of &lt;2.5degreesC. Total integrated chl-a concentration during the survey ranged from 4.15 to 22.81 mg chl-a m(-2), with the highest concentrations recorded at stations occupied in the frontal region. These data suggest that the region of the South-West Indian Ridge represents not only an area of elevated biological activity but also acts as a strong biogeographic barrier to the spatial distribution of zooplankton.</t>
  </si>
  <si>
    <t>Univ Cape Town, Dept Oceanog, ZA-7701 Rondebosch, South Africa; Rhodes Univ, Dept Zool &amp; Entomol, So Ocean Grp, ZA-6140 Grahamstown, South Africa; Marine &amp; Coastal Mangaement, ZA-8012 Cape Town, South Africa; Rhodes Univ, Dept Chem, ZA-6140 Grahamstown, South Africa</t>
  </si>
  <si>
    <t>University of Cape Town; Rhodes University; Rhodes University</t>
  </si>
  <si>
    <t>Univ Cape Town, Dept Oceanog, ZA-7701 Rondebosch, South Africa.</t>
  </si>
  <si>
    <t>ansorge@ocean.uct.ac.za</t>
  </si>
  <si>
    <t>Froneman, William/C-9085-2012; Bernard, Kim S/J-2703-2013; ANSORGE, ISABELLE/AAY-7396-2020; Froneman, William/GLS-0460-2022; Bernard, Anthony/M-8292-2019; Swart, Sebastiaan/U-5498-2017</t>
  </si>
  <si>
    <t>Froneman, William/0000-0003-0615-1355; Bernard, Anthony/0000-0003-0482-6283; Swart, Sebastiaan/0000-0002-2251-8826; Davies-Coleman, Michael/0000-0001-5344-894X; Burls, Natalie/0000-0002-6950-3808; Ansorge, Isabelle/0000-0001-7071-8147</t>
  </si>
  <si>
    <t>1996-7489</t>
  </si>
  <si>
    <t>863LY</t>
  </si>
  <si>
    <t>WOS:000224564500002</t>
  </si>
  <si>
    <t>Edwards, HGM; Wynn-Williams, DD; Little, SJ; de Oliveira, LFC; Cockell, CS; Ellis-Evan, JC</t>
  </si>
  <si>
    <t>Stratified response to environmental stress in a polar lichen characterized with FT-Raman microscopic analysis</t>
  </si>
  <si>
    <t>SPECTROCHIMICA ACTA PART A-MOLECULAR AND BIOMOLECULAR SPECTROSCOPY</t>
  </si>
  <si>
    <t>Raman microscopy; stress-protective; biochemicals; polar lichen</t>
  </si>
  <si>
    <t>ANTARCTIC HABITATS; GRANITE MONUMENTS; SPECTROSCOPY; SANDSTONE; SURFACE</t>
  </si>
  <si>
    <t>The role of Antarctic epilithic lichens in the primary colonization of rocks and in the formation of soils is receiving attention because of the production of the stress-protective biochemicals needed to combat radiation, desiccation and extremes of temperature. Raman microscopy has been used here to study the encrustations produced at the interface between the rock substratum and Buellia spp. lichen thalli; in addition to whewellite. calcium oxalate monohydrate, the presence of weddellite, the metastable dihydrate form, was confirmed in the encrustations. An unusual pigmentation of the rock surface found on detachment of the lichen growths is identified as P-carotene from its characteristic Raman bands at 1525. 1191, 1157 and 1003 cm(-1); normally, beta-carotene, which has been identified as a UV-radiation protectant, is found at the exposed upper surface of the biological organism. The interface between the detached lichen thalli and the rock also contains whewellite as the sole biomineralization product-which suggests a. possible strategy for the formulation of weddelite in the growing Buellia spp. colony as an anti-desiccant. (C) 2003 Elsevier B.V. All rights reserved.</t>
  </si>
  <si>
    <t>Univ Bradford, Dept Chem &amp; Forens Sci, Bradford BD7 1, W Yorkshire, England; British Antarctic Survey, Cambridge CB3 0ET, England</t>
  </si>
  <si>
    <t>University of Bradford; UK Research &amp; Innovation (UKRI); Natural Environment Research Council (NERC); NERC British Antarctic Survey</t>
  </si>
  <si>
    <t>Edwards, HGM (corresponding author), Univ Bradford, Dept Chem &amp; Forens Sci, Bradford BD7 1, W Yorkshire, England.</t>
  </si>
  <si>
    <t>h.g.m.edwards@bradford.ac.uk</t>
  </si>
  <si>
    <t>de Oliveira, L. F. C./E-4632-2013</t>
  </si>
  <si>
    <t>1386-1425</t>
  </si>
  <si>
    <t>SPECTROCHIM ACTA A</t>
  </si>
  <si>
    <t>Spectroc. Acta Pt. A-Molec. Biomolec. Spectr.</t>
  </si>
  <si>
    <t>8-9</t>
  </si>
  <si>
    <t>10.1016/j.saa.2003.10.021</t>
  </si>
  <si>
    <t>Spectroscopy</t>
  </si>
  <si>
    <t>843WB</t>
  </si>
  <si>
    <t>WOS:000223116400043</t>
  </si>
  <si>
    <t>Pereira, KCD; Evangelista, H; Pereira, EB; Simoes, JC; Johnson, E; Melo, LR</t>
  </si>
  <si>
    <t>Transport of crustal microparticles from Chilean Patagonia to the Antarctic Peninsula by SEM-EDS analysis</t>
  </si>
  <si>
    <t>KING-GEORGE-ISLAND; AEROSOL; DUST</t>
  </si>
  <si>
    <t>The individual elemental composition of insoluble airborne particulates found in King George Island (KGI), Antarctic Peninsula (atmosphere, snow, firn and ice deposits) and in the atmosphere of Chilean Patagonia by SEM-EDS analysis identify probable sources and transport mechanisms for the atmospheric aerosols observed in these regions. Insoluble airborne particulates found in the snow, firn and ice in a core from Lange Glacier (KGI) call for significant crustal influence, mainly associated with aluminium potassium, aluminium calcium and magnesium iron silicates together with other aluminium silicates of calcium and magnesium, among rare others containing Ti. Ni and Cr. Our study suggests that 95% of the bulk mode insoluble particulates deposited in Lange Glacier can be explained by atmospheric transport from Chilean Patagonia. Cyclonic systems passing between southern most South America and the Antarctic Peninsula are the most probable atmospheric transport mechanism, tracked by measurements of Rn-222 and Si.</t>
  </si>
  <si>
    <t>Univ Estado Rio De Janeiro, IBRAG, DBB, LCR, BR-20550013 Rio De Janeiro, Brazil; Inst Nacl Pesquisas Espaciais, BR-12201 Sao Jose Dos Campos, Brazil; Univ Fed Rio Grande do Sul, Dept Geog, Lab Pesquisisas Antarticas &amp; Glaciol, BR-91501970 Porto Alegre, RS, Brazil; Univ Magallanes, Inst Fis, Punta Arenas, Chile</t>
  </si>
  <si>
    <t>Universidade do Estado do Rio de Janeiro; Instituto Nacional de Pesquisas Espaciais (INPE); Universidade Federal do Rio Grande do Sul; Universidad de Magallanes</t>
  </si>
  <si>
    <t>Univ Estado Rio De Janeiro, IBRAG, DBB, LCR, Pavilhao Haroldo Lisboa Cunha,Rua San Francisco X, BR-20550013 Rio De Janeiro, Brazil.</t>
  </si>
  <si>
    <t>heitor@uerj.br</t>
  </si>
  <si>
    <t>Pereira, Enio/AAH-3308-2020; Evangelista, Heitor/C-7561-2013; Simoes, Jefferson Cardia/D-7232-2013</t>
  </si>
  <si>
    <t>Pereira, Enio/0000-0002-5095-0085; Simoes, Jefferson Cardia/0000-0001-5555-3401; Johnson Gonzalez, Erling/0000-0002-3933-2171</t>
  </si>
  <si>
    <t>10.3402/tellusb.v56i3.16428</t>
  </si>
  <si>
    <t>837LY</t>
  </si>
  <si>
    <t>Green Published, hybrid</t>
  </si>
  <si>
    <t>WOS:000222638100007</t>
  </si>
  <si>
    <t>Shapiro, NM; Ritzwoller, MH</t>
  </si>
  <si>
    <t>Inferring surface heat flux distributions guided by a global seismic model: particular application to Antarctica</t>
  </si>
  <si>
    <t>heat flow; seismic tomographic model; structural similarity; ice sheets</t>
  </si>
  <si>
    <t>THERMAL STRUCTURE; MANTLE TEMPERATURES; ICE STREAM; FLOW; TOMOGRAPHY; BENEATH; THICKNESS; INTERIOR; VELOCITY; CRUSTAL</t>
  </si>
  <si>
    <t>We present a method that uses a global seismic model of the crust and upper mantle to guide the extrapolation of existing heat-flow measurements to regions where such measurements are rare or absent. For any chosen spatial point on the globe, the procedure generates a histogram. of heat-flow values determined from existing measurements obtained from regions that are structurally similar to the target point. The inferred histograms are based on a structural similarity functional, which is introduced to quantify the structural analogy between different regions. We apply this procedure world-wide using the global heat-flow data base of Pollack et al. [Rev. Geophys. 31 (1993) 267] guided by an update of the 3-D shear velocity model of the crust and uppermost mantle of Shapiro and Ritzwoller [Geophys. J. Int. 51 (2002) 88]. The method results in an inferred probability distribution for the heat flux for each geographical region of interest. These distributions are strongly non-Gaussian, but are well approximated by the log-logistic distribution which is completely specified by two parameters. The inferred distributions agree well with observed distributions of heat flux taken in 300-km radius circles regionally in numerous locations. Particular attention is drawn to the inferred surface heat flux distributions across Antarctica, where direct measurements are rare but information about heat flow may be needed to help understand the dynamics of the Antarctic ice sheets and ice streams. Mean heat flow in West Antarctica is expected to be nearly three times higher than in East Antarctica and much more variable. This high heat flow may affect the dynamics of West Antarctic ice streams and the stability of the West Antarctic Ice Sheet. (C) 2004 Elsevier B.V. All rights reserved.</t>
  </si>
  <si>
    <t>Univ Colorado, Dept Phys, Ctr Imaging Earths Interior, Boulder, CO 80309 USA</t>
  </si>
  <si>
    <t>Univ Colorado, Dept Phys, Ctr Imaging Earths Interior, Campus Box 390, Boulder, CO 80309 USA.</t>
  </si>
  <si>
    <t>nshapiro@ciei.colorado.edu</t>
  </si>
  <si>
    <t>Shapiro, Nikolai M/G-1049-2010</t>
  </si>
  <si>
    <t>Shapiro, Nikolai/0000-0002-0144-723X</t>
  </si>
  <si>
    <t>JUN 30</t>
  </si>
  <si>
    <t>10.1016/j.epsl.2004.04.011</t>
  </si>
  <si>
    <t>835LE</t>
  </si>
  <si>
    <t>WOS:000222483800016</t>
  </si>
  <si>
    <t>Coolen, MJL; Muyzer, G; Rijpstra, WIC; Schouten, S; Volkman, JK; Damsté, JSS</t>
  </si>
  <si>
    <t>Combined DNA and lipid analyses of sediments reveal changes in Holocene haptophyte and diatom populations in an Antarctic lake</t>
  </si>
  <si>
    <t>Ace Lake; paleomicrobiology; paleoenvironment; Holocene sediments; fossil DNA; alkenones; haptophytes; diatoms</t>
  </si>
  <si>
    <t>LONG-CHAIN ALKENONES; GRADIENT GEL-ELECTROPHORESIS; BRANCHED ISOPRENOID ALKENES; ACE-LAKE; VESTFOLD HILLS; EMILIANIA-HUXLEYI; MARINE-SEDIMENTS; GEPHYROCAPSA-OCEANICA; SEA; TEMPERATURE</t>
  </si>
  <si>
    <t>Preserved ribosomal DNA of planktonic phototrophic algae was recovered from Holocene anoxic sediments of Ace Lake (Antarctica), and the ancient community members were identified based on comparative sequence analysis. The similar concentration profiles of DNA of haptophytes and their traditional lipid biomarkers (alkenones and alkenoates) revealed that fossil rDNA also served as quantitative biomarkers in this environment. The DNA data clearly revealed the presence of six novel phylotypes related to known alkenone and alkenoate-biosynthesizing haptophytes with Isochrysis galbana UIO 102 as their closest relative. The relative abundance of these phylotypes changed as the lake chemistry, particularly salinity, evolved over time. Changes in the alkenone distributions reflect these population changes rather than a physiological response to salinity by a single haptophyte. Using this novel paleo-ecological approach of combining data from lipid biomarkers and preserved DNA, we showed that the post-glacial development of Ace Lake from freshwater basin to marine inlet and the present-day lacustrine saline system caused major qualitative and quantitative changes in the biodiversity of the planktonic populations over time. (C) 2004 Elsevier B.V. All rights reserved.</t>
  </si>
  <si>
    <t>Royal Netherlands Inst Sea Res, Dept Marine Biogeochem &amp; Toxicol, NL-1790 AB Den Burg, Texel, Netherlands; Antarct CRC, Hobart, Tas 7001, Australia; CSIRO, Marine Res, Hobart, Tas 7001, Australia</t>
  </si>
  <si>
    <t>Utrecht University; Royal Netherlands Institute for Sea Research (NIOZ); Commonwealth Scientific &amp; Industrial Research Organisation (CSIRO)</t>
  </si>
  <si>
    <t>Coolen, MJL (corresponding author), Royal Netherlands Inst Sea Res, Dept Marine Biogeochem &amp; Toxicol, POB 59, NL-1790 AB Den Burg, Texel, Netherlands.</t>
  </si>
  <si>
    <t>coolen@nioz.nl</t>
  </si>
  <si>
    <t>Coolen, Marco J. L./B-8263-2015; Muyzer, Gerard/ABE-5834-2020; Muyzer, Gerard/A-3161-2013; Volkman, John K/A-6592-2008; Sinninghe Damste, Jaap/F-6128-2011</t>
  </si>
  <si>
    <t>Coolen, Marco J. L./0000-0002-0417-920X; Muyzer, Gerard/0000-0002-2422-0732; Muyzer, Gerard/0000-0002-2422-0732; Sinninghe Damste, Jaap/0000-0002-8683-1854</t>
  </si>
  <si>
    <t>10.1016/j.epsl.2004.04.014</t>
  </si>
  <si>
    <t>WOS:000222483800017</t>
  </si>
  <si>
    <t>Siegert, MJ; Payne, AJ</t>
  </si>
  <si>
    <t>Past rates of accumulation in central West Antarctica</t>
  </si>
  <si>
    <t>MASS-BALANCE; GREENLAND</t>
  </si>
  <si>
    <t>The spatial variation in ice accumulation is critical to the form and stability of ice sheets. In West Antarctica, knowledge of present ice accumulation rates is restricted to sparse measurements and interpolations across data free regions, while information on former ice accumulation is restricted to a small number of ice cores and numerical modeling results. Here, isochronous internal ice sheet layers, recorded by airborne radio-echo sounding and dated at their stratigraphic position at the Byrd ice core site, are used to reconstruct the spatial pattern of accumulation across the main West Antarctic ice divide for the past 16,000 years. Mean accumulation calculated for the last 3100 years matches well to present-day accumulation rates, which is compatible with previous observations on Siple Dome. Accumulation between 6400 and 16,000 years ago is calculated to be around half that at present, in accordance with recent ice sheet modeling results.</t>
  </si>
  <si>
    <t>Univ Bristol, Sch Geog Sci, Bristol Glaciol Ctr, Ctr Polar Observat &amp; Modelling, Bristol BS8 1SS, Avon, England</t>
  </si>
  <si>
    <t>Univ Bristol, Sch Geog Sci, Bristol Glaciol Ctr, Ctr Polar Observat &amp; Modelling, Bristol BS8 1SS, Avon, England.</t>
  </si>
  <si>
    <t>Siegert, Martin J/A-3826-2008; Joughin, Ian R/A-2998-2008; Siegert, Martin/M-9939-2019; payne, antony/A-8916-2008</t>
  </si>
  <si>
    <t>Siegert, Martin J/0000-0002-0090-4806; Joughin, Ian R/0000-0001-6229-679X; Siegert, Martin/0000-0002-0090-4806; payne, antony/0000-0001-8825-8425</t>
  </si>
  <si>
    <t>L12403</t>
  </si>
  <si>
    <t>10.1029/2004GL020290</t>
  </si>
  <si>
    <t>839JG</t>
  </si>
  <si>
    <t>WOS:000222779500006</t>
  </si>
  <si>
    <t>Harangozo, SA</t>
  </si>
  <si>
    <t>The impact of winter ice retreat on antarctic winter sea-ice extent and links to the atmospheric meridional circulation</t>
  </si>
  <si>
    <t>Antarctic sea ice extent; winter advance and retreat; ice-atmosphere interactions</t>
  </si>
  <si>
    <t>INTERANNUAL VARIABILITY; THICKNESS DISTRIBUTION; CLIMATE; BELLINGSHAUSEN; PENINSULA; SECTOR; OCEAN; WATER</t>
  </si>
  <si>
    <t>15 years of weekly Antarctic ice extent and 10 m winds from numerical meteorological reanalyses have been used to test the hypothesis that the Antarctic final winter ice extent (FWE) is brought about by ice retreats as much as by advances, and that both are strongly affected by the meridional (north-south) component of the atmospheric circulation. This hypothesis is found to be correct and it is shown that extensive FWE fails to occur when total winter retreat is anomalously large. This is the case even in the coldest Antarctic regions. Retreats reduce the time available for advance, notably when they are substantial, with the ice cover taking up to several weeks to recover. Systematic changes in the meridional winds between retreats and advance are also detected in all regions; retreats are consistently associated with northerly winds supporting ice compaction and ice drift. The results agree with Antarctic case studies. Close similarities are found between several Antarctic and sub-Arctic regions in terms of the prevalence of retreat in some winters. its impact on the FWE and its relationship to the meridional atmospheric circulation. The study also reveals a more complex picture of the atmospheric circulation during sub-monthly ice retreats and advances. In particular, retreats in some Pacific regions are, on average, associated with anomalous anticyclonic circulations. This helps to explain why evidence of strong cyclone-ice extent relationships has not been found previously. A meteorological explanation is also sought for total retreat in winter being small in a winter of limited ice extent in the Bellingshausen Sea despite this being the mildest Antarctic region. In such cases, limited winter ice extent is attended by reduced advance caused by ice compaction due to northerly winds and waves and also anomalously high air temperatures. Reduced advance then limits opportunities for retreat to take place compared with winters with more advance and sea ice reaching lower latitudes. Overall. the results point to sub-monthly ice-atmospheric circulation interactions largely determining the winter ice extent throughout much of the Antarctic. Copyright (C) 2004 Royal Meteorological Society.</t>
  </si>
  <si>
    <t>Natl Environm Res Council, British Antarctic Survey, Cambridge, England</t>
  </si>
  <si>
    <t>Natl Environm Res Council, British Antarctic Survey, High Cross,Madingley Rd, Cambridge, England.</t>
  </si>
  <si>
    <t>sah@bas.ac.uk</t>
  </si>
  <si>
    <t>10.1002/joc.1046</t>
  </si>
  <si>
    <t>833NK</t>
  </si>
  <si>
    <t>WOS:000222344200008</t>
  </si>
  <si>
    <t>Chilvers, BL; Delean, S; Gales, NJ; Holley, DK; Lawler, IR; Marsh, H; Preen, AR</t>
  </si>
  <si>
    <t>Diving behaviour of dugongs, Dugong dugon</t>
  </si>
  <si>
    <t>diving behaviour; dive depth; dive duration; dugong; Dugong dugon; time-depth recorder</t>
  </si>
  <si>
    <t>ELEPHANT SEALS; HARBOR SEALS; HERVEY-BAY; SHARK BAY; PATTERNS; SEAGRASS; QUEENSLAND; PROFILES; HABITAT; MANATEE</t>
  </si>
  <si>
    <t>The diving behaviour of 15 dugongs (Dugong dugon) was documented using time-depth recorders (TDRs), which logged a total of 39,507 dives. The TDRs were deployed on dugongs caught at three study sites in northern Australia: Shark Bay, the Gulf of Carpentaria and Shoalwater Bay. The average time for which the dive data were collected per dugong was 10.4 +/- 1.1 (S.E.) days. Overall, these dugongs spent 47% of their daily activities within 1.5 m of the sea surface and 72% less than 3 in from the sea surface. Their mean maximum dive depth was 4.8 +/- 0.4 m (S.E.), mean dive duration was 2.7 +/- 0.17 min and the number of dives per hour averaged 11.8 +/- 1.2. The maximum dive depth recorded was 20.5 m; the maximum dive time in water &gt;1.5 in deep was 12.3 min. The effects of dugong sex, location (study site), time of day and tidal cycle on diving rates (dives per hour), mean maximum dive depths, durations of dives, and time spent 5 1.5 in from the surface were investigated using weighted split-plot analysis of variance. The dugongs exhibited substantial interindividual variation in all dive parameters. The interaction between location and time of day was significant for diving rates, mean maximum dive depths and time spent within 1.5 m of the surface. In all these cases, there was substantial variation among individuals within locations among times of day. Thus, it was the variation among individuals that dominated all other effects. Dives were categorised into five types based on the shape of the time-depth profile. Of these, 67% of dives were interpreted as feeding dives (square and U-shaped), 8% as exploratory dives (V-shaped), 22% as travelling dives (shallow-erratic) and 3% as shallow resting dives. There was systematic variation in the distribution of dive types among the factors examined. Most of this variation was among individuals, but this differed across both time of day and tidal state. Not surprisingly, there was a positive relationship between dive duration and depth and a negative relationship between the number of dives per hour and the time spent within 1.5 m of the surface after a dive. (C) 2004 Elsevier B.V. All rights reserved.</t>
  </si>
  <si>
    <t>James Cook Univ N Queensland, Sch Trop Environm Studies &amp; Geog, Townsville, Qld 4811, Australia; CALM, Dept Conservat &amp; Land Management, Perth, WA, Australia; Australian Antarctic Div, Kingston, Tas 7054, Australia; CRC Reef Res Ctr, Townsville, Qld 4810, Australia; Scotts Plain, Rollands Plains, NSW 2441, Australia</t>
  </si>
  <si>
    <t>James Cook University; Australian Antarctic Division</t>
  </si>
  <si>
    <t>James Cook Univ N Queensland, Sch Trop Environm Studies &amp; Geog, Townsville, Qld 4811, Australia.</t>
  </si>
  <si>
    <t>Helene.Marsh@jcu.edu.au</t>
  </si>
  <si>
    <t>Chilvers, B. Louise/AAV-1965-2021; Lawler, Ivan R/G-3901-2010</t>
  </si>
  <si>
    <t>Chilvers, B. Louise/0000-0002-7657-4217; Marsh, Helene/0000-0003-3492-4992</t>
  </si>
  <si>
    <t>10.1016/j.jembe.2003.12.010</t>
  </si>
  <si>
    <t>822WX</t>
  </si>
  <si>
    <t>WOS:000221572400004</t>
  </si>
  <si>
    <t>Kuvaas, B; Kristoffersen, Y; Leitchenkov, G; Guseva, J; Gandjukhin, V</t>
  </si>
  <si>
    <t>Seismic expression of glaciomarine deposits in the Eastern Riiser Larsen Sea, Antarctica</t>
  </si>
  <si>
    <t>Antarctica; Riiser-Larsen Sea; Gunnerus Ridge; glaciomarine deposits; seismics; turbidites; contourites</t>
  </si>
  <si>
    <t>CONTINENTAL-MARGIN; ICE; TURBIDITE; CHARACTER</t>
  </si>
  <si>
    <t>By studying multichannel seismic data across the continental slope and rise of the eastern Riiser Larsen Sea and through a comparison with other East Antarctic continental margins, the base of the glaciomarine deposits has been traced in this area. The seismic data reveal the presence of large channel-levee complexes as well as multiple types of contourite accumulations. Downslope and alonglope processes thus interacted in forming the glaciomarine deposits. The deposits are attributed to the advances of ice sheet, delivering huge amounts of sediment to the shelf edge and upper slope during glacial maxima. Oversteepening and instability generated down-slope turbidity currents forming channel-levee complexes whereas the contourite accumulations were probably mostly formed during interglacials. The spatial distribution of the current controlled deposits indicates that bottom currents flow along the western slope of the Gunner-us Ridge. (C) 2004 Elsevier B.V. All rights reserved.</t>
  </si>
  <si>
    <t>Univ Bergen, Inst Geosci, N-5007 Bergen, Norway; VNIIOkeangeol, St Petersburg 190121, Russia; PMGRE, Lomonosov 189510, Russia</t>
  </si>
  <si>
    <t>Univ Bergen, Inst Geosci, Allegaten 41, N-5007 Bergen, Norway.</t>
  </si>
  <si>
    <t>10.1016/j.margeo.2004.04.004</t>
  </si>
  <si>
    <t>836PS</t>
  </si>
  <si>
    <t>WOS:000222568600001</t>
  </si>
  <si>
    <t>Sumida, PYG; Yoshinaga, MY; Madureira, LASP; Hovland, M</t>
  </si>
  <si>
    <t>Seabed pockmarks associated with deepwater corals off SE Brazilian continental slope, Santos Basin</t>
  </si>
  <si>
    <t>pockmarks; deepwater corals; Santos Basin; SW Atlantic Ocean</t>
  </si>
  <si>
    <t>LOPHELIA-PERTUSA; COMMUNITY STRUCTURE; NORTH-SEA; SHELF; BIOGEOGRAPHY; CALIFORNIA; SEEPAGE; MARGINS; BANKS</t>
  </si>
  <si>
    <t>Several factors bear evidence of chemosynthetic ecosystem occurrence in the Brazilian coast; these motivated our investigation to sample three pockmarks located on the continental slope off SE Brazil (26degreesS and 46degreesW) at similar to700 in depth. The crater-like features were similar to I kin in diameter and 100 in in depth, and were identified with an echo-sounder (EK-500). They were sampled along two transects using a rectangular dredge. Our main objective was to identify possible evidence of a seep-related community. The surrounding sediments of the pockmarks seem to be filled with coral rubble harboring a rich fauna of metazoans including epilithic and chasmolithic organisms. A total of 9565 organisms were sampled. The most abundant group was the Ophiuroidea, followed by Cirripedia and Polychaeta. A number of new occurrences and new species were registered. The polychaete worm Amelinna was the first record for the Atlantic Ocean, which has been found in reducing habitats such as wood islands. The echo-sounder records also showed the presence of big deepwater coral mounds associated with the edge of the pockmarks. These features are similar to20 in in height and from 180 to 360 in wide. Records of demersal fishes were also registered right above coral mounds. The presence of deepwater coral mounds at the edge of pockmarks may be related to the flow of the cold, oxygen-rich Antarctic Intermediate Water over the bottom, or else may benefit from the fertilization of the water by the microseepage of hydrocarbons from the sediment. We suggest a more thorough survey in order to map and recognize these environments. Furthermore, our findings may shed some light on new research perspectives concerning the ecology, biogeography and evolution of reducing habitats off the Brazilian coast. (C) 2004 Elsevier B.V. All rights reserved.</t>
  </si>
  <si>
    <t>Univ Sao Paulo, Inst Oceanog, Benth Dynam Lab, BR-05508120 Sao Paulo, Brazil; Fundacao Univ Rio Grande, Dept Oceanog, BR-47496201 Rio Grande, RS, Brazil; STATOIL, N-4035 Stavanger, Norway</t>
  </si>
  <si>
    <t>Universidade de Sao Paulo; Universidade Federal do Rio Grande</t>
  </si>
  <si>
    <t>Sumida, PYG (corresponding author), Univ Sao Paulo, Inst Oceanog, Benth Dynam Lab, Praca Oceanog,191, BR-05508120 Sao Paulo, Brazil.</t>
  </si>
  <si>
    <t>psumida@io.usp.br</t>
  </si>
  <si>
    <t>Hovland, Martin/W-6139-2019; Yoshinaga, Marcos Y/J-4715-2012; Madureira, Luiz/F-9630-2012; Sumida, Paulo Y G/F-2561-2011</t>
  </si>
  <si>
    <t>Yoshinaga, Marcos Y/0000-0002-5533-5348; Madureira, Luiz/0000-0001-7712-2792; Sumida, Paulo Y G/0000-0001-7549-4541; Hovland, Martin/0000-0002-7367-4845</t>
  </si>
  <si>
    <t>10.1016/j.margeo.2004.03.006</t>
  </si>
  <si>
    <t>WOS:000222568600010</t>
  </si>
  <si>
    <t>Wu, DL</t>
  </si>
  <si>
    <t>Mesoscale gravity wave variances from AMSU-A radiances</t>
  </si>
  <si>
    <t>MIDDLE ATMOSPHERE; SATELLITE-OBSERVATIONS; MOUNTAIN WAVES; STRATOSPHERE; VARIABILITY; CLIMATOLOGY</t>
  </si>
  <si>
    <t>A variance analysis technique is developed here to extract gravity wave (GW) induced temperature fluctuations from NOAA AMSU-A (Advanced Microwave Sounding Unit-A) radiance measurements. By carefully removing the instrument/measurement noise, the algorithm can produce reliable GW variances with the minimum detectable value as small as 0.1 K-2. Preliminary analyses with AMSU-A data show GW variance maps in the stratosphere have very similar distributions to those found with the UARS MLS (Upper Atmosphere Research Satellite Microwave Limb Sounder). However, the AMSU-A offers better horizontal and temporal resolution for observing regional GW variability, such as activity over sub-Antarctic islands.</t>
  </si>
  <si>
    <t>CALTECH, Jet Prop Lab, Pasadena, CA 91109 USA</t>
  </si>
  <si>
    <t>National Aeronautics &amp; Space Administration (NASA); NASA Jet Propulsion Laboratory (JPL); California Institute of Technology</t>
  </si>
  <si>
    <t>dwu@mls.jpl.nasa.gov</t>
  </si>
  <si>
    <t>Wu, Dong L/D-5375-2012</t>
  </si>
  <si>
    <t>JUN 29</t>
  </si>
  <si>
    <t>L12114</t>
  </si>
  <si>
    <t>10.1029/2004GL019562</t>
  </si>
  <si>
    <t>839JF</t>
  </si>
  <si>
    <t>WOS:000222779400002</t>
  </si>
  <si>
    <t>Godon, A; Jendrzejewski, N; Eggenkamp, HGM; Banks, DA; Ader, M; Coleman, ML; Pineau, F</t>
  </si>
  <si>
    <t>A cross-calibration of chlorine isotopic measurements and suitability of seawater as the international reference material</t>
  </si>
  <si>
    <t>CHEMICAL GEOLOGY</t>
  </si>
  <si>
    <t>chlorine stable isotopes; mass spectrometry; delta Cl-37; IRMS; TIMS; SMOC</t>
  </si>
  <si>
    <t>SEASONAL EVOLUTION; SOUTH; SAMPLES; COMPLEX; CS2CL+; CARBON</t>
  </si>
  <si>
    <t>A collection of 24 seawaters from various worldwide locations and differing depth was culled to measure their chlorine isotopic composition (delta(37)Cl). These samples cover all the oceans and large seas: Atlantic, Pacific, Indian and Antarctic oceans, Mediterranean and Red seas. This collection includes nine seawaters from three depth profiles down to 4560 mbsl. The standard deviation (2sigma) of the delta(37)Cl of this collection is +/-0.08 parts per thousand, which is in fact as large as our precision of measurement ( +/- 0.10 parts per thousand). Thus, within error, oceanic waters seem to be an homogeneous reservoir. According to our results, any seawater could be representative of Standard Mean Ocean Chloride (SMOC) and could be used as a reference standard. An extended international cross-calibration over a large range of delta(37)Cl has been completed. For this purpose, geological fluid samples of various chemical compositions and a manufactured CH3Cl gas sample, with delta(37)Cl from about -6 parts per thousand to +6 parts per thousand have been compared. Data were collected by gas source isotope ratio mass spectrometry (IRMS) at the Paris, Reading and Utrecht laboratories and by thermal ionization mass spectrometry (TIMS) at the Leeds laboratory. Comparison of IRMS values over the range -5.3 parts per thousand to +1.4 parts per thousand plots on the Y=X line, showing a very good agreement between the three laboratories. On 11 samples, the trend line between Paris and Reading Universities is: delta(37)Cl(Reading)= (1.007 +/- 0.009)delta(37)Cl(Paris) - (0.040 +/- 0.025), with a correlation coefficient: R-2 = 0.999. TIMS values from Leeds University have been compared to IRMS values from Paris University over the range -3.0 parts per thousand to +6.0 parts per thousand. On six samples, the agreement between these two laboratories, using different techniques is good: delta(37)Cl(Leeds)=(1.052 +/- 0.038)delta(37)Cl(Paris) + (0.058 +/- 0.099), with a correlation coefficient: R-2 = 0.995. The present study completes a previous cross-calibration between the Leeds and Reading laboratories to compare TIMS and IRMS results (Anal. Chem. 72 (2000) 2261). Both studies allow a comparison of IRMS and TIMS techniques between delta(37)Cl values from -4.4 parts per thousand to +6.0 parts per thousand and show a good agreement: delta(37)Cl(TIMS)=(1.039 +/- 0.023)delta(37)Cl(IRMS)+(0.059 +/- 0.056), with a correlation coefficient: R-2 = 0.996. Our study shows that, for fluid samples, if chlorine isotopic compositions are near 0 parts per thousand, their measurements either by IRMS or TIMS will give comparable results within less than +/- 0.10 parts per thousand, while for delta(37)Cl values as far as 10 parts per thousand (either positive or negative) from SMOC, both techniques will agree within less than +/- 0.30 parts per thousand. (C) 2004 Elsevier B.V. All rights reserved.</t>
  </si>
  <si>
    <t>Univ Paris 07, UMR 7047, Inst Phys Globe Paris, Lab Geochim Isotopes Stables, F-75251 Paris 05, France; Univ Reading, Postgrad Res Inst Sedimentol, Reading RG6 6AB, Berks, England; Univ Utrecht, Dept Geochem, NL-3508 TA Utrecht, Netherlands; Univ Leeds, Sch Earth Sci, Leeds LS2 9JT, W Yorkshire, England</t>
  </si>
  <si>
    <t>Universite Paris Cite; University of Reading; Utrecht University; University of Leeds</t>
  </si>
  <si>
    <t>Univ Paris 07, UMR 7047, Inst Phys Globe Paris, Lab Geochim Isotopes Stables, 2,Pl Jussieu,Tour 54-64 1er Etage, F-75251 Paris 05, France.</t>
  </si>
  <si>
    <t>godon@ipgp.jussieu.fr; nj@ipgp.jussieu.fr; hans.eggenkamp@hetnet.nl; d.banks@earth.leeds.ac.uk; ader@ipgp.jussieu.fr</t>
  </si>
  <si>
    <t>Coleman, Max/GZK-5911-2022; ader, magali/A-5613-2011; Eggenkamp, Hans/C-4006-2008; Coleman, Max/A-1303-2007</t>
  </si>
  <si>
    <t>ader, magali/0000-0002-9239-1509; Eggenkamp, Hans/0000-0001-5874-0157; Coleman, Max/0000-0002-5514-1826; Godon, Arnaud/0000-0003-1893-7128</t>
  </si>
  <si>
    <t>0009-2541</t>
  </si>
  <si>
    <t>1872-6836</t>
  </si>
  <si>
    <t>CHEM GEOL</t>
  </si>
  <si>
    <t>Chem. Geol.</t>
  </si>
  <si>
    <t>JUN 28</t>
  </si>
  <si>
    <t>10.1016/j.chemgeo.2003.11.019</t>
  </si>
  <si>
    <t>830BP</t>
  </si>
  <si>
    <t>WOS:000222096900001</t>
  </si>
  <si>
    <t>Lamy, F; Kaiser, J; Ninnemann, U; Hebbeln, D; Arz, HW; Stoner, J</t>
  </si>
  <si>
    <t>Antarctic timing of surface water changes off Chile and Patagonian ice sheet response</t>
  </si>
  <si>
    <t>SOUTHERN CHILE; CLIMATE-CHANGE; TROPICAL PACIFIC; LAST GLACIATION; MARINE RECORD; EL-NINO; DEGLACIATION; CIRCULATION; OSCILLATION; VARIABILITY</t>
  </si>
  <si>
    <t>Marine sediments from the Chilean continental margin are used to infer millennial-scale changes in southeast Pacific surface ocean water properties and Patagonian ice sheet extent since the last glacial period. Our data show a clear Antarctic timing of sea surface temperature changes, which appear systematically linked to meridional displacements in sea ice, westerly winds, and the circumpolar current system. Proxy data for ice sheet changes show a similar pattern as oceanographic variations offshore, but reveal a variable glacier-response time of up to similar to1000 years, which may explain some of the current discrepancies among terrestrial records in southern South America.</t>
  </si>
  <si>
    <t>Geoforschungszentrum Potsdam, D-14473 Potsdam, Germany; DFG Res Ctr Ocean Margins, D-28359 Bremen, Germany; Univ Bergen, Dept Earth Sci, N-5007 Bergen, Norway; Univ Bergen, Bjerknes Ctr Climate Res, N-5007 Bergen, Norway; Univ Colorado, Inst Arctic &amp; Alpine Res, Boulder, CO 80309 USA</t>
  </si>
  <si>
    <t>Helmholtz Association; Helmholtz-Center Potsdam GFZ German Research Center for Geosciences; German Research Foundation (DFG); University of Bergen; Bjerknes Centre for Climate Research; University of Bergen; University of Colorado System; University of Colorado Boulder</t>
  </si>
  <si>
    <t>Geoforschungszentrum Potsdam, D-14473 Potsdam, Germany.</t>
  </si>
  <si>
    <t>flamy@gfz-potsdam.de</t>
  </si>
  <si>
    <t>Arz, Helge W/A-6659-2013; Lamy, Frank/H-3611-2014; Hebbeln, Dierk/P-9766-2016</t>
  </si>
  <si>
    <t>Arz, Helge Wolfgang/0000-0002-1997-1718; Lamy, Frank/0000-0001-5952-1765; Hebbeln, Dierk/0000-0001-5099-6115</t>
  </si>
  <si>
    <t>JUN 25</t>
  </si>
  <si>
    <t>10.1126/science.1097863</t>
  </si>
  <si>
    <t>832BG</t>
  </si>
  <si>
    <t>WOS:000222241600044</t>
  </si>
  <si>
    <t>Vaqué, D; Agusti, S; Duarte, CM</t>
  </si>
  <si>
    <t>Response of bacterial grazing rates to experimental manipulation of an Antarctic coastal nanoflagellate community</t>
  </si>
  <si>
    <t>Antarctica; Johnson's Dock; bacteria; heterotrophic nanoflagellate size; phagotrophic; ciliates; dinoflagellates; grazing</t>
  </si>
  <si>
    <t>MICROBIAL FOOD-WEB; SOUTHERN-OCEAN; MARINE; PROTISTS; CARBON; VOLUME; BIOMASS; GROWTH; FATE; BACTERIOPLANKTON</t>
  </si>
  <si>
    <t>We examined changes of bacterial losses related to heterotrophic nanoflagellate (HNF) size distribution in late spring/early summer (1998/1999) using 9 grazing experiments in a coastal Antarctic area (Johnson's Dock, Livingston Island, Bransfield Sector). Water samples were subjected to size fractionation through 50 and 5 mum pore sizes to obtain a truncation of the microbial food web. In each fraction, we estimated bacterial loss rates and abundance and biomass of HNF grouped into 4 size classes (! 2, 2 to 5, 5 to 10, 10 to 20 mum). We also investigated whether grazing on bacteria was mainly due to HNF, and which HNF size class had a major impact on bacteria. We expected that in the 50 mum fraction, large protists (ciliates, dinoflagellates) would prey preferentially on nanoprotists and relieve bacterial pressure from HNF. Bacterial grazing rates were estimated by disappearance of fluorescently labeled bacteria over 24 h. These showed similar values in both experimental treatments, although they were slightly higher for the 50 mum fraction. Average grazing rates were 4.8 x 10(5) 3.6 x 10(5) cells ml(-1) d(-1) in the 5 mum treatment and 6.9 x 10(5) 3.2 x 10(5) cells ml(-1) d(-1) for the 50 mum fraction. In the 5 pm fraction, HNF abundance (integrated over 24 h, HNFi) and bacterial grazing rates were significantly related. The best relationship was obtained with the smallest HNFi size classes (from less than or equal to 2 and 2 to 5 mum). In the 50 mum fraction, no relationships were found between bacterial loss rate and both total HNFi and any HNFi size class in terms of abundance and biomass. However, microozooplankton was negatively related to total bacteria and both HNFi abundance and biomass. The major contributor to this negative relationship was the HNFi size classes from less than or equal to2 and 2 to 5 mum. Consequently, and against our expectations, large protists contributed to microbial food-web complexity by masking carbon fluxes from bacteria to HNF, and by feeding on both bacteria and nanoprotists.</t>
  </si>
  <si>
    <t>CSIC, Inst Ciencia Mar Barcelona, CMIMA, Dept Biol Marina &amp; Oceanog, Passeig Maritim Barceloneta 37-49, Barcelona 08003, Catalunya, Spain; UIB, CSIC, IMEDEA, Inst Mediterrani Estudis Avancats, Mallorca 07190, Illes Balears, Spain</t>
  </si>
  <si>
    <t>Consejo Superior de Investigaciones Cientificas (CSIC); CSIC - Centro Mediterraneo de Investigaciones Marinas y Ambientales (CMIMA); CSIC - Instituto de Ciencias del Mar (ICM); Universitat de les Illes Balears; Consejo Superior de Investigaciones Cientificas (CSIC); ATTITUS Educacao</t>
  </si>
  <si>
    <t>CSIC, Inst Ciencia Mar Barcelona, CMIMA, Dept Biol Marina &amp; Oceanog, Passeig Maritim Barceloneta 37-49, Barcelona 08003, Catalunya, Spain.</t>
  </si>
  <si>
    <t>dolors@icm.csic.es</t>
  </si>
  <si>
    <t>Duarte, Carlos M/A-7670-2013; Agusti, Susana/G-2864-2017; Duarte Quesada, Carlos Manuel/ABD-6208-2021; Agusti, Susana/H-8421-2012; Vaque, Dolors/H-6973-2018</t>
  </si>
  <si>
    <t>Duarte, Carlos M/0000-0002-1213-1361; Agusti, Susana/0000-0003-0536-7293; Vaque, Dolors/0000-0002-0420-5914</t>
  </si>
  <si>
    <t>JUN 24</t>
  </si>
  <si>
    <t>10.3354/ame036041</t>
  </si>
  <si>
    <t>836QM</t>
  </si>
  <si>
    <t>WOS:000222570600005</t>
  </si>
  <si>
    <t>Freeman, MP; Morley, SK</t>
  </si>
  <si>
    <t>A minimal substorm model that explains the observed statistical distribution of times between substorms</t>
  </si>
  <si>
    <t>MAGNETOSPHERIC SUBSTORMS; ONSETS</t>
  </si>
  <si>
    <t>A minimal model for the evolution of the global dynamical state of the magnetotail during the substorm has been developed, involving only three simple rules and one free parameter D-the period between substorms under constant solar wind driving. The model is driven with a power input derived from solar wind observations from the Wind spacecraft between 1995 and 1998, to derive a sequence of simulated substorm onsets. For values of D between 2.6 h and 2.9 h, the probability distribution of waiting times between successive simulated substorm onsets is not significantly different to an empirical distribution derived from energetic particle observations at geostationary orbit in 1982-3. Similar results are obtained using solar wind data from the ACE spacecraft between 1998 and 2002. Thus, we argue that the minimal substorm model provides a useful statistical and physical description of the timing of substorm onsets and possibly other substorm properties.</t>
  </si>
  <si>
    <t>Freeman, MP (corresponding author), British Antarctic Survey, NERC, High Cross,Madingley Rd, Cambridge CB3 0ET, England.</t>
  </si>
  <si>
    <t>Morley, Steven K/GVS-9398-2022; Morley, Steven/AAP-5637-2021; Morley, Steven K/A-8321-2008; Freeman, Mervyn/E-5687-2019</t>
  </si>
  <si>
    <t>Morley, Steven K/0000-0001-8520-0199; Morley, Steven K/0000-0001-8520-0199; Freeman, Mervyn/0000-0002-8653-8279</t>
  </si>
  <si>
    <t>L12807</t>
  </si>
  <si>
    <t>10.1029/2004GL019989</t>
  </si>
  <si>
    <t>839HM</t>
  </si>
  <si>
    <t>WOS:000222774600001</t>
  </si>
  <si>
    <t>Delmotte, M; Chappellaz, J; Brook, E; Yiou, P; Barnola, JM; Goujon, C; Raynaud, D; Lipenkov, VI</t>
  </si>
  <si>
    <t>Atmospheric methane during the last four glacial-interglacial cycles: Rapid changes and their link with Antarctic temperature</t>
  </si>
  <si>
    <t>climate; atmospheric methane; ice core</t>
  </si>
  <si>
    <t>VOSTOK ICE-CORE; ABRUPT CLIMATE-CHANGE; PAST 110,000 YEARS; GREENLAND CLIMATE; CH4 GRADIENT; TIME-SERIES; POLAR ICE; RECORD; PERIOD; VARIABILITY</t>
  </si>
  <si>
    <t>Atmospheric methane (CH4) recorded in Antarctic ice cores represents the closest ice proxy available for Greenland temperature changes beyond times when Greenland climate records are available. The record over four climatic cycles from the Vostok ice core offers the opportunity to study the phase relationship between Greenland and Antarctic climate changes through detailed CH4 profiles. Combining American and French analytical efforts, we have improved the time resolution of the existing CH4 record from Petit et al. [1999]. Spectral analyses reveal high- and low-frequency variability ( including a strong precessional component). The phase relationship between CH4 and the Antarctic temperature proxy (deltaD) shows a systematic lag of CH4 versus temperature by 1100 +/- 200 years, on long timescales (50-400 kyr) and a more complex behavior over shorter timescales (i.e., less than or equal to25 kyr), suggesting that Dansgaard/Oeschger-type of climatic variability and associated interhemispheric linkage are robust features of late Quaternary climate.</t>
  </si>
  <si>
    <t>CNRS UJF, Lab Glaciol &amp; Geophys Environm, F-38402 St Martin Dheres, France; Washington State Univ, Dept Geol, Vancouver, WA 98686 USA; Arctic &amp; Antarctic Res Inst, St Petersburg 199397, Russia</t>
  </si>
  <si>
    <t>Centre National de la Recherche Scientifique (CNRS); Communaute Universite Grenoble Alpes; Universite Grenoble Alpes (UGA); Washington State University; Arctic &amp; Antarctic Research Institute</t>
  </si>
  <si>
    <t>CE Saclay Orme Merisiers, Lab Sci Climat &amp; Environm, CNRS CEA 1572, Bat 709, F-91191 Gif Sur Yvette, France.</t>
  </si>
  <si>
    <t>delmotte@lsce.saclay.cea.fr</t>
  </si>
  <si>
    <t>Brook, Edward/AAB-7807-2021; Chappellaz, Jérôme A./A-4872-2011; Raynaud, Dominique/H-9626-2016; raynaud, dominique/ABG-4718-2020; Lipenkov, Vladimir/Q-8262-2016</t>
  </si>
  <si>
    <t>Lipenkov, Vladimir/0000-0003-4221-5440</t>
  </si>
  <si>
    <t>D12</t>
  </si>
  <si>
    <t>D12104</t>
  </si>
  <si>
    <t>10.1029/2003JD004417</t>
  </si>
  <si>
    <t>839HW</t>
  </si>
  <si>
    <t>WOS:000222775700001</t>
  </si>
  <si>
    <t>Ito, T; Marshall, J; Follows, M</t>
  </si>
  <si>
    <t>What controls the uptake of transient tracers in the Southern Ocean?</t>
  </si>
  <si>
    <t>residual mean theory; Southern Ocean; transient tracers</t>
  </si>
  <si>
    <t>ANTARCTIC CIRCUMPOLAR CURRENT; ANTHROPOGENIC CO2; CIRCULATION MODELS; CARBON-DIOXIDE; GAS-EXCHANGE; SEA; AIR; TRANSPORT</t>
  </si>
  <si>
    <t>We apply residual mean'' theory of tracer transport, in which eddy transfer plays a fundamental role, to develop scalings and idealized numerical models of the Southern Ocean uptake of transient tracers. The streamline-averaged numerical model, which represents transport in the meridional plane, captures the observed distributions of CFC-11, bomb-Delta(14)C, and anthropogenic CO2. The model reproduces the observed relationship between CFC-11 and bomb-Delta(14)C and suggests that the upper branch of the residual overturning flow in the Southern Ocean is about 14 Sv, supporting previous inferences based on the observed buoyancy distribution and air-sea buoyancy fluxes. Scale analysis suggests that the limit of fast air-sea gas exchange is applicable to CFC-11, for which the surface concentration is close to equilibrium and cumulative ocean uptake is largely determined by physical transport processes. In the slow gas exchange limit, applicable to bomb-Delta(14)C, the surface concentration is far from equilibrium and the cumulative uptake is most sensitive to the parameterization of the gas transfer coefficient. Anthropogenic CO2 falls between those two limit cases and is sensitive to both transport processes and the gas transfer coefficient. Sensitivity studies using the streamline-averaged model suggest that uncertainties in air-sea buoyancy fluxes in current climatologies result in significant uncertainty in estimates of Southern Ocean uptake of anthropogenic CO2 based on circulation and biogeochemistry models driven by, or brought into consistency with, the climatological fluxes. This uncertainty is sufficient to explain a significant amount of the spread in a recent model comparison study.</t>
  </si>
  <si>
    <t>Ito, T (corresponding author), MIT, Dept Earth Atmospher &amp; Planetary Sci, Program Atmospheres Oceans &amp; Climate, 54-1511, Cambridge, MA 02139 USA.</t>
  </si>
  <si>
    <t>ito@ocean.mit.edu</t>
  </si>
  <si>
    <t>Follows, Michael J/G-9824-2011; Ito, Takamitsu/F-3856-2010</t>
  </si>
  <si>
    <t>Ito, Takamitsu/0000-0001-9873-099X</t>
  </si>
  <si>
    <t>JUN 23</t>
  </si>
  <si>
    <t>GB2021</t>
  </si>
  <si>
    <t>10.1029/2003GB002103</t>
  </si>
  <si>
    <t>839HS</t>
  </si>
  <si>
    <t>WOS:000222775200001</t>
  </si>
  <si>
    <t>Mohtadi, M; Hebbeln, D</t>
  </si>
  <si>
    <t>Mechanisms and variations of the paleoproductivity off northern Chile (24°S-33°S) during the last 40,000 years -: art. no. PA2023</t>
  </si>
  <si>
    <t>southeast Pacific; planktic foraminifera; paleoceanography; paleoclimate; Chile</t>
  </si>
  <si>
    <t>ICE CORE RECORDS; BOLIVIAN ALTIPLANO; SOUTHERN WESTERLIES; PLANKTONIC-FORAMINIFERA; LATE PLEISTOCENE; UPWELLING AREA; EARLY HOLOCENE; MARINE RECORD; NORTE-CHICO; CLIMATE</t>
  </si>
  <si>
    <t>[1] A multiparameter investigation including organic carbon, carbonate, opal, and planktic foraminifera was carried out on five sediment cores from the coastal upwelling area between 24 degreesS and 33 degreesS along the Peru-Chile Current to reconstruct the history of the paleoproductivity and its driving mechanisms during the last 40,000 years. Inferred from our data, we conclude that the Antarctic Circumpolar Current as the main nutrient source in this region mainly drives the productivity by its latitudinal shifts associated with climate change. Simplified, its northerly position during the last glacial led to enhanced productivities, and its southerly position during the Holocene caused lower productivities. At 33 degreesS the paleoproductivity was additionally affected by the southern westerlies and records highest levels during the Last Glacial Maximum (LGM). North of 33 degreesS, several factors ( e. g., position and strength of the South Pacific anticyclone, wind stress, continental runoff, and El Nino Southern Oscillation events) supplementary influenced upwelling and paleoproductivity, where maximum values occurred prior to the LGM and during the deglaciation.</t>
  </si>
  <si>
    <t>Univ Bremen, Dept Geosci, D-28334 Bremen, Germany</t>
  </si>
  <si>
    <t>University of Bremen</t>
  </si>
  <si>
    <t>Mohtadi, M (corresponding author), Univ Bremen, Dept Geosci, Postfach 330440, D-28334 Bremen, Germany.</t>
  </si>
  <si>
    <t>mohtadi@uni-bremen.de</t>
  </si>
  <si>
    <t>Mohtadi, Mahyar/N-2106-2014; Hebbeln, Dierk/P-9766-2016</t>
  </si>
  <si>
    <t>Mohtadi, Mahyar/0000-0003-3306-0969; Hebbeln, Dierk/0000-0001-5099-6115</t>
  </si>
  <si>
    <t>PA2023</t>
  </si>
  <si>
    <t>10.1029/2004PA001003</t>
  </si>
  <si>
    <t>839IW</t>
  </si>
  <si>
    <t>WOS:000222778300003</t>
  </si>
  <si>
    <t>Fortes, AD; Wood, IG; Grigoriev, D; Alfredsson, M; Kipfstuhl, S; Knight, KS; Smith, RI</t>
  </si>
  <si>
    <t>No evidence for large-scale proton ordering in Antarctic ice from powder neutron diffraction</t>
  </si>
  <si>
    <t>JOURNAL OF CHEMICAL PHYSICS</t>
  </si>
  <si>
    <t>D2O ICE; SCATTERING MEASUREMENTS; DIELECTRIC-PROPERTIES; PHASE-TRANSITION; DOME-FUJI; IH; XI; KOH; RAMAN; CORE</t>
  </si>
  <si>
    <t>We have examined a sample of 3000 year old Antarctic ice, collected at the Kohnen Station, by time-of-flight powder neutron diffraction to test the hypothesis of Fukazawa et al. [e.g., Ann. Glaciol. 31, 247 (2000)] that such ice may be partially proton ordered. Great care was taken to keep our sample below the proposed ordering temperature (237 K) at all times, but we did not observe any evidence of proton ordering. (C) 2004 American Institute of Physics.</t>
  </si>
  <si>
    <t>UCL, Dept Earth Sci, London WC1E 6BT, England; Alfred Wegener Inst Fdn Polar &amp; Marine Res, D-27568 Bremerhaven, Germany; Rutherford Appleton Lab, ISIS Facil, Didcot OX11 0QX, Oxon, England; Nat Hist Museum, London SW7 5BD, England</t>
  </si>
  <si>
    <t>University of London; University College London; Helmholtz Association; Alfred Wegener Institute, Helmholtz Centre for Polar &amp; Marine Research; UK Research &amp; Innovation (UKRI); Science &amp; Technology Facilities Council (STFC); STFC Rutherford Appleton Laboratory; Natural History Museum London</t>
  </si>
  <si>
    <t>Fortes, AD (corresponding author), UCL, Dept Earth Sci, Gower St, London WC1E 6BT, England.</t>
  </si>
  <si>
    <t>andrew.fortes@ucl.ac.uk</t>
  </si>
  <si>
    <t>Knight, Kevin/N-9278-2019; Fortes, A Dominic/C-1349-2011</t>
  </si>
  <si>
    <t>Knight, Kevin/0000-0002-4826-0739; Fortes, A Dominic/0000-0001-5907-2285</t>
  </si>
  <si>
    <t>AMER INST PHYSICS</t>
  </si>
  <si>
    <t>CIRCULATION &amp; FULFILLMENT DIV, 2 HUNTINGTON QUADRANGLE, STE 1 N O 1, MELVILLE, NY 11747-4501 USA</t>
  </si>
  <si>
    <t>0021-9606</t>
  </si>
  <si>
    <t>J CHEM PHYS</t>
  </si>
  <si>
    <t>J. Chem. Phys.</t>
  </si>
  <si>
    <t>JUN 22</t>
  </si>
  <si>
    <t>10.1063/1.1765099</t>
  </si>
  <si>
    <t>827NS</t>
  </si>
  <si>
    <t>WOS:000221907800008</t>
  </si>
  <si>
    <t>Gardner, DON; Al-Halabi, A; Kroes, GJ</t>
  </si>
  <si>
    <t>Efficient penetration of the basal plane (0001) face of ice Ih by HF at Ts 150 K:: Dependence on incidence energy, incidence angle, and rotational energy</t>
  </si>
  <si>
    <t>6-DIMENSIONAL QUANTUM DYNAMICS; MOLECULAR-DYNAMICS; OZONE DEPLETION; ANTARCTIC OZONE; SURFACE; STICKING; HCL; CHEMISTRY; CHLORINE; DISSOCIATION</t>
  </si>
  <si>
    <t>Classical trajectory simulations are carried out to investigate the influence of incidence energy, incidence angle, and rotational energy on the penetration of the basal plane (0001) face of ice I-h by HF at a surface temperature (T-s) of 150 K. The interaction of HF with ice is modelled by pair interactions, with the pair potential fitted to ab initio (Hartree-Fock+MP2) calculations. The penetration of ice by HF occurs already at very low incidence energies, viz., E-i greater than or equal to 20 kJ mol(-1). This is much lower than the threshold incidence energy obtained for penetration of ice by HCl (E-i approximate to96.5 kJ mol(-1)); the calculated average barrier to penetration of ice by HF is 16.0 kJ mol(-1) and is much lower than that previously reported for HCl. As was the case for HCl, penetration of ice by HF decreases with decreasing incidence energy and increasing incidence angle. Though in general, the penetration probability is independent of the molecule's initial rotational energy, penetration beyond the second bilayer (deep penetration) is suppressed by initial rotation. This suggests that, like was found for HCl, the steering operative in deep penetration is inhibited by initial rotation. Finally, because HF is a weak acid experimental observation of HF penetrated into ice may well be possible using infrared spectroscopy, and we suggest experiments along this line. (C) 2004 American Institute of Physics.</t>
  </si>
  <si>
    <t>Leiden Univ, Leiden Inst Chem, Gorlaeus Labs, NL-2300 RA Leiden, Netherlands</t>
  </si>
  <si>
    <t>Leiden University; Leiden University - Excl LUMC</t>
  </si>
  <si>
    <t>Gardner, DON (corresponding author), Leiden Univ, Leiden Inst Chem, Gorlaeus Labs, POB 9502, NL-2300 RA Leiden, Netherlands.</t>
  </si>
  <si>
    <t>g.j.kroes@chem.leidenuniv.nl</t>
  </si>
  <si>
    <t>1305 WALT WHITMAN RD, STE 300, MELVILLE, NY 11747-4501 USA</t>
  </si>
  <si>
    <t>1089-7690</t>
  </si>
  <si>
    <t>10.1063/1.1753259</t>
  </si>
  <si>
    <t>WOS:000221907800052</t>
  </si>
  <si>
    <t>Phillips, RA; Silk, JRD; Phalan, B; Catry, P; Croxall, JP</t>
  </si>
  <si>
    <t>Seasonal sexual segregation in two Thalassarche albatross species:: competitive exclusion, reproductive role specialization or foraging niche divergence?</t>
  </si>
  <si>
    <t>sexual segregation; niche divergence; seabird; size dimorphism; foraging habitat preference</t>
  </si>
  <si>
    <t>WANDERING ALBATROSSES; BIRD-ISLAND; DIOMEDEA-MELANOPHRIS; SEABIRD MORTALITY; DIMORPHISM; ECOLOGY; STRATEGIES; BEHAVIOR; CHRYSOSTOMA; EVOLUTION</t>
  </si>
  <si>
    <t>Sexual segregation by micro- or macrohabitat is common in birds, and usually attributed to size-mediated dominance and exclusion of females by larger males, trophic niche divergence or reproductive role specialization. Our study of black-browed albatrosses, Thalassarche melanophrys, and grey-headed albatrosses, T. chrysostoma, revealed an exceptional degree of sexual segregation during incubation, with largely mutually exclusive core foraging ranges for each sex in both species. Spatial segregation was not apparent during brood-guard or post-guard chick rearing, when adults are constrained to feed close to colonies, providing no evidence for dominance-related competitive exclusion at the macrohabitat level. A comprehensive morphometric comparison indicated considerable species and sexual dimorphism in wing area and wing loading that corresponded, both within and between species, to broad-scale habitat preferences relating to wind strength. We suggest that seasonal sexual segregation in these two species is attributable to niche divergence mediated by differences in flight performance. Such sexual segregation may also have implications for conservation in relation to sex-specific overlap with commercial fisheries.</t>
  </si>
  <si>
    <t>Phalan, Ben/A-5783-2009; Catry, Paulo/I-5408-2013</t>
  </si>
  <si>
    <t>Phalan, Ben/0000-0001-7876-7226; Catry, Paulo/0000-0003-3000-0522</t>
  </si>
  <si>
    <t>10.1098/rspb.2004.2718</t>
  </si>
  <si>
    <t>834CO</t>
  </si>
  <si>
    <t>WOS:000222389400010</t>
  </si>
  <si>
    <t>Antarctic cores put the big freeze on ice for another 16 000 years</t>
  </si>
  <si>
    <t>CHEMISTRY &amp; INDUSTRY</t>
  </si>
  <si>
    <t>SOC CHEMICAL INDUSTRY</t>
  </si>
  <si>
    <t>14 BELGRAVE SQUARE, LONDON SW1X 8PS, ENGLAND</t>
  </si>
  <si>
    <t>0009-3068</t>
  </si>
  <si>
    <t>CHEM IND-LONDON</t>
  </si>
  <si>
    <t>Chem. Ind.</t>
  </si>
  <si>
    <t>JUN 21</t>
  </si>
  <si>
    <t>Chemistry, Applied</t>
  </si>
  <si>
    <t>833KY</t>
  </si>
  <si>
    <t>WOS:000222337400003</t>
  </si>
  <si>
    <t>Pugh, PJA</t>
  </si>
  <si>
    <t>Biogeography of spiders (Araneae: Arachnida) on the islands of the Southern Ocean</t>
  </si>
  <si>
    <t>Araneae; Antarctica; Arachnida; biogeography; islands; Southern Ocean; sub-Antarctic</t>
  </si>
  <si>
    <t>SUB-ANTARCTIC ISLANDS; GENUS DYSDERA ARANEAE; FALKLAND-ISLANDS; CANARY-ISLANDS; FAUNA; ACARI; CONSERVATION; INSECT; INVERTEBRATES; BIODIVERSITY</t>
  </si>
  <si>
    <t>The araneofauna of the extreme Southern Hemisphere is highly impoverished and disharmonic. Four dead anthropogenic immigrant spiders have been collected from Antarctica while only 115 verified species from 26 families are reported on the islands of the Southern Ocean. Cluster analysis of the verified Southern Ocean species distribution data identifies a weak, but distinct, Neotropical/South Atlantic association together with robust South Indian and South Pacific biogeographic clusters. These groupings, largely attributed to vicariance and/or endemism, contain little evidence of post-Pleistocene dispersal. Indeed the 14 records of anthropogenic origin suggest that the pace of recent human-mediated introduction has been at least 30 times more rapid than that of Holocene natural dispersal.</t>
  </si>
  <si>
    <t>Publicat Primadonnas, Kilgetty SA68 0XG, Pembroke, Wales</t>
  </si>
  <si>
    <t>Anglia Polytech Univ, Dept Life Sci, East Rd, Cambridge CB1 1PT, England.</t>
  </si>
  <si>
    <t>p.j.a.pugh@apu.ac.uk</t>
  </si>
  <si>
    <t>JUN 20</t>
  </si>
  <si>
    <t>10.1080/0022293031000155403</t>
  </si>
  <si>
    <t>776GR</t>
  </si>
  <si>
    <t>WOS:000189108700001</t>
  </si>
  <si>
    <t>Heywood, KJ; Garabato, ACN; Stevens, DP; Muench, RD</t>
  </si>
  <si>
    <t>On the fate of the Antarctic Slope Front and the origin of the Weddell Front</t>
  </si>
  <si>
    <t>topographic interaction; Weddell Scotia Confluence; water masses</t>
  </si>
  <si>
    <t>WATER MASSES; BOTTOM WATER; SCOTIA SEA; CIRCUMPOLAR CURRENT; BRANSFIELD STRAIT; SOUTHERN-OCEAN; INVERSE MODEL; DEEP WATERS; CIRCULATION; VARIABILITY</t>
  </si>
  <si>
    <t>[ 1] Data from the Deep Ocean Ventilation Through Antarctic Intermediate Layers ( DOVETAIL) and Antarctic Large-Scale Box Analysis and the Role of the Scotia Sea ( ALBATROSS) projects are combined in the region of the Antarctic Peninsula and the South Scotia Ridge to determine the paths and transports associated with the Antarctic Coastal Current, the Antarctic Slope Front, and the Weddell Front. The Antarctic Coastal Current flows over the Antarctic continental shelf and is not tied to a particular isobath. It transports similar to1 Sv westward to the Bransfield Strait. Its subsequent course is uncertain, but we speculate that it may continue southwest along the western side of the Antarctic Peninsula, close to the coast. The Antarctic Slope Front, present almost all the way around Antarctica tied to the continental slope, has not previously been mapped after it reaches the tip of the Antarctic Peninsula. We show that the frontal jet splits into two branches in the northwest Powell Basin where the isobaths diverge. The shoreward portion of the water associated with the front ( lying above isobaths shallower than 1500 m) is able to cross the South Scotia Ridge and head northwestward and retains many of the properties of the Antarctic Slope Front. It is associated with a transport of similar to7 Sv. The portion of the front constrained to lie above isobaths deeper than 1500 m becomes the Weddell Front. This takes a path around the northern Powell Basin and south of the South Orkney Islands. Of the similar to13 Sv that circulates around the southern flank of the South Orkney Plateau, similar to8 Sv of Weddell Sea Deep Water and Warm Deep Water leaves the front to continue west. The remaining shallow and intermediate water retroflects and returns south associated with the Weddell Front through the Orkney Passage. Approximately 5 - 7 Sv is transported eastward associated with the Weddell Front, tied closely to the southern flanks of the Bruce and Discovery Banks above the 2000 - 2500 m isobaths, and forming the southern boundary of the Weddell Scotia Confluence.</t>
  </si>
  <si>
    <t>Univ E Anglia, Sch Environm Sci, Norwich NR4 7TJ, Norfolk, England; Earth &amp; Space Res, Seattle, WA 98102 USA; Univ E Anglia, Sch Math, Norwich NR4 7TJ, Norfolk, England</t>
  </si>
  <si>
    <t>University of East Anglia; University of East Anglia</t>
  </si>
  <si>
    <t>Heywood, KJ (corresponding author), Univ E Anglia, Sch Environm Sci, Norwich NR4 7TJ, Norfolk, England.</t>
  </si>
  <si>
    <t>k.heywood@uea.ac.uk; a.naveira-garabato@uea.ac.uk; d.stevens@uea.ac.uk; rmuench@esr.org</t>
  </si>
  <si>
    <t>Garabato, Alberto Naveira/AAQ-1114-2020; Stevens, David/F-2509-2010; Heywood, Karen/L-1757-2016</t>
  </si>
  <si>
    <t>Garabato, Alberto Naveira/0000-0001-6071-605X; Stevens, David/0000-0002-7283-4405; Heywood, Karen/0000-0001-9859-0026</t>
  </si>
  <si>
    <t>JUN 19</t>
  </si>
  <si>
    <t>C6</t>
  </si>
  <si>
    <t>C06021</t>
  </si>
  <si>
    <t>10.1029/2003JC002053</t>
  </si>
  <si>
    <t>854FN</t>
  </si>
  <si>
    <t>WOS:000223886900003</t>
  </si>
  <si>
    <t>White, WB; Annis, J</t>
  </si>
  <si>
    <t>Influence of the Antarctic Circumpolar Wave on El Nino and its multidecadal changes from 1950 to 2001</t>
  </si>
  <si>
    <t>ACW; El Nino; meridional teleconnections; multidecadal change</t>
  </si>
  <si>
    <t>SEA-SURFACE TEMPERATURE; SOUTHERN OSCILLATION WAVE; LEVEL PRESSURE; OCEAN; VARIABILITY; ICE; TELECONNECTIONS; ANOMALIES; MODEL; WIND</t>
  </si>
  <si>
    <t>[1] The slow eastward phase propagation of covarying sea surface temperature (SST) and sea level pressure (SLP) anomalies in the Antarctic Circumpolar Wave (ACW) persisted in the midlatitude Southern Ocean from 1950 to 2001. Its northern extent reached into the subtropical South Indian and South Pacific oceans, where it influenced the magnitude and phase of El Nino in the eastern equatorial Pacific Ocean. This is corroborated by the observation that multidecadal changes in the ACW can also explain multidecadal changes in the way El Nino evolved over the last half of the twentieth century. Before 1977, El Nino evolved from the slow eastward phase propagation of a coupled SST/SLP wave across the subtropical South Pacific Ocean to South America, then equatorward along the eastern boundary to the equator. During this epoch, the ACW expanded equatorward into a warmer subtropical South Pacific Ocean, accounting for the subtropical coupled SST/SLP wave that initiated El Nino. After 1977, El Nino evolved from the slow eastward phase propagation of a coupled SST/SLP wave across the tropical Pacific Ocean. During this epoch, the ACW receded from a colder subtropical South Pacific Ocean but expanded into a warmer subtropical South Indian Ocean. There it spawned a coupled SST/SLP wave directed equatorward into the Warm Pool north of Australia, thereafter propagating eastward into the eastern equatorial Pacific Ocean to initiate El Nino. If this pattern of global warming persists into the 21st century, then the ACW will continue to influence El Nino through the South Indian Ocean.</t>
  </si>
  <si>
    <t>Univ Calif San Diego, Scripps Inst Oceanog, La Jolla, CA 92093 USA</t>
  </si>
  <si>
    <t>Univ Calif San Diego, Scripps Inst Oceanog, 9500 Gilman Dr,MS 0230, La Jolla, CA 92093 USA.</t>
  </si>
  <si>
    <t>afincham@ucsd.edu</t>
  </si>
  <si>
    <t>C06019</t>
  </si>
  <si>
    <t>10.1029/2002JC001666</t>
  </si>
  <si>
    <t>WOS:000223886900001</t>
  </si>
  <si>
    <t>Sasai, Y; Ishida, A; Yamanaka, Y; Sasaki, H</t>
  </si>
  <si>
    <t>Chlorofluorocarbons in a global ocean eddy-resolving OGCM: Pathway and formation of Antarctic Bottom Water</t>
  </si>
  <si>
    <t>WEDDELL SEA; INTERMEDIATE WATER; DEEP-WATER; CIRCULATION; ATLANTIC; MODELS</t>
  </si>
  <si>
    <t>We have investigated the pathway of Antarctic Bottom Water (AABW) using simulated chlorofluorocarbons (CFCs) distribution in a global eddy-resolving OGCM. Our goal is to improve our understanding of the processes and pathways determining the distribution of CFCs in the Southern Ocean, where much of this tracer is entrained by formation of the deep and bottom water. The model exhibits considerable skill in reproducing the section along the Greenwich Meridian (AJAX) and 170degreesW (WOCE P15S). In the South Atlantic, the model indicates two pathways transporting CFC-11 from the Weddell Sea to the AJAX section: an upper pathway through the Scotia Sea, and a lower pathway south along the South Scotia Ridge. The simulated CFC-11 inventory along the two sections is much like that observed.</t>
  </si>
  <si>
    <t>Earth Simulator Ctr, Yokohama, Kanagawa, Japan; Frontier Res Syst Global Change, Kanazawa Ku, Yokohama, Kanagawa 2360001, Japan; Japan Marine Sci &amp; Technol Ctr, Yokosuka, Kanagawa, Japan; Hokkaido Univ, Grad Sch Environm Earth Sci, Sapporo, Hokkaido 060, Japan</t>
  </si>
  <si>
    <t>Japan Agency for Marine-Earth Science &amp; Technology (JAMSTEC); Japan Agency for Marine-Earth Science &amp; Technology (JAMSTEC); Japan Agency for Marine-Earth Science &amp; Technology (JAMSTEC); Hokkaido University</t>
  </si>
  <si>
    <t>Sasai, Y (corresponding author), Earth Simulator Ctr, Yokohama, Kanagawa, Japan.</t>
  </si>
  <si>
    <t>ysasai@jamstec.go.jp</t>
  </si>
  <si>
    <t>Yamanaka, Yasuhiro/H-7393-2012</t>
  </si>
  <si>
    <t>Yamanaka, Yasuhiro/0000-0003-3369-3248</t>
  </si>
  <si>
    <t>JUN 18</t>
  </si>
  <si>
    <t>L12305</t>
  </si>
  <si>
    <t>10.1029/2004GL019895</t>
  </si>
  <si>
    <t>833GO</t>
  </si>
  <si>
    <t>WOS:000222325100006</t>
  </si>
  <si>
    <t>Savoye, N; Buesseler, KO; Cardinal, D; Dehairs, F</t>
  </si>
  <si>
    <t>234Th deficit and excess in the Southern Ocean during spring 2001: Particle export and remineralization</t>
  </si>
  <si>
    <t>ANTARCTIC POLAR FRONT; IRON FERTILIZATION; SURFACE OCEAN; CARBON; TH-234; BLOOM; DISEQUILIBRIA; ATLANTIC; SUMMER; SEA</t>
  </si>
  <si>
    <t>Th-234 deficit and excess were examined in the upper 500 m of the Southern Ocean from Sub-Antarctic to Seasonal Ice Zones ( Australian sector) during austral spring 2001. Th-234 fluxes at 100 m indicate that particle export was low in the North (46.9-51.0degreesS), minimal in the Polar and Inter-Polar Frontal Zones and high in the South (greater than or equal to61degreesS). These results are in tight agreement with new production estimates from the same cruise. Our data indicate that Polar and Inter-Polar Frontal Zones were not zones of intense export in the Australian sector at this time of year, in contrast with other sectors of the Southern Ocean. Also, we highlight the usefulness of Th-234 excess below the mixed layer as a tool to study mesopelagic remineralization.</t>
  </si>
  <si>
    <t>Univ Libre Brussels, Dept Analyt &amp; Environm Chem, Brussels, Belgium; Woods Hole Oceanog Inst, Dept Marine Chem &amp; Geochem, Woods Hole, MA 02543 USA; Royal Museum Cent Africa, Dept Geol, Tervuren, Belgium</t>
  </si>
  <si>
    <t>Universite Libre de Bruxelles; Woods Hole Oceanographic Institution; Royal Museum for Central Africa</t>
  </si>
  <si>
    <t>Savoye, N (corresponding author), Univ Libre Brussels, Dept Analyt &amp; Environm Chem, Brussels, Belgium.</t>
  </si>
  <si>
    <t>nsavoye@vub.ac.be</t>
  </si>
  <si>
    <t>Cardinal, Damien/B-5958-2008; Cardinal, Damien/AAM-6215-2021</t>
  </si>
  <si>
    <t>Cardinal, Damien/0000-0003-1238-8412</t>
  </si>
  <si>
    <t>JUN 16</t>
  </si>
  <si>
    <t>L12301</t>
  </si>
  <si>
    <t>10.1029/2004GL019744</t>
  </si>
  <si>
    <t>833GL</t>
  </si>
  <si>
    <t>WOS:000222324800001</t>
  </si>
  <si>
    <t>De Angelis, M; Petit, JR; Savarino, J; Souchez, R; Thiemens, MH</t>
  </si>
  <si>
    <t>Contributions of an ancient evaporitic-type reservoir to subglacial Lake Vostok chemistry</t>
  </si>
  <si>
    <t>Antarctica; Lake Vostok; accretion ice; ice composition</t>
  </si>
  <si>
    <t>DEPENDENT SOLUTE REDISTRIBUTION; WATER PHASE-BOUNDARY; ISOTOPIC COMPOSITION; ATMOSPHERIC SULFATE; ANTARCTIC ICE; SULFUR; CRYSTALS; ORIGIN; REGION; BASE</t>
  </si>
  <si>
    <t>We present here the first comprehensive study of the chemical composition of accretion ice from Lake Vostok. Ion chromatographic analyses were performed on samples obtained along the deeper part of the Vostok ice core. Samples were taken from 3350 down to 3611 in depth, both in glacier ice and subglacial lake ice. The total ionic contents of two accretion ice layers-a few meters thick and centered around 3540 and 3590 in depth-are several times lower than those of glacier ice. Very low concentrations were also observed in the deeper part of accretion ice, below 3609 in depth. Elsewhere, the total ionic content is variable but remains 5 to 50 times higher than in glacier ice. Whatever its total ionic content, the ionic composition of accretion ice is significantly different from what is observed in glacier ice. It is dominated by sodium chloride, homogeneously distributed throughout the ice lattice, as well as calcium and magnesium sulfate, likely located in solid inclusions, or to a lesser extent at grain boundaries. Chemical considerations combined with additional studies of sulfur and oxygen isotopes in sulfate, and iron measurements strongly suggest that glacier water recycling and bedrock hydrolysis do not play a prominent role in providing impurities to accretion ice. It is more likely that NaCl rich water carrying fine sulfate salt particles is sporadically incorporated in the ice accreting in a shallow bay upstream from Vostok. The origin of such salty water, which should also contribute to Lake salinity, is discussed. (C) 2004 Elsevier B.V. All rights reserved.</t>
  </si>
  <si>
    <t>UJF, CNRS, LGGE, St Martin Dheres, France; Free Univ Brussels, Dept Sci Terre, B-1050 Brussels, Belgium; Univ Calif San Diego, Dept Chem &amp; Biochem, La Jolla, CA 92093 USA</t>
  </si>
  <si>
    <t>Communaute Universite Grenoble Alpes; Universite Grenoble Alpes (UGA); Centre National de la Recherche Scientifique (CNRS); Universite Libre de Bruxelles; University of California System; University of California San Diego</t>
  </si>
  <si>
    <t>UJF, CNRS, LGGE, BP 96, St Martin Dheres, France.</t>
  </si>
  <si>
    <t>ange@lgge.obs.ujf-grenoble.fr</t>
  </si>
  <si>
    <t>Savarino, Joel/H-9730-2012</t>
  </si>
  <si>
    <t>Savarino, Joel/0000-0002-6708-9623</t>
  </si>
  <si>
    <t>JUN 15</t>
  </si>
  <si>
    <t>10.1016/j.epsl.2004.03.023</t>
  </si>
  <si>
    <t>831OB</t>
  </si>
  <si>
    <t>WOS:000222202700005</t>
  </si>
  <si>
    <t>Cortese, G; Abelmann, A; Gersonde, R</t>
  </si>
  <si>
    <t>A glacial warm water anomaly in the subantarctic Atlantic Ocean, near the Agulhas Retroflection</t>
  </si>
  <si>
    <t>agulhas; paleotemperature; radiolarians; South Atlantic</t>
  </si>
  <si>
    <t>SOUTHERN-OCEAN; INDIAN SECTOR; CLIMATE; RECORD; SEA; VARIABILITY</t>
  </si>
  <si>
    <t>ODP Site 1089 is optimally located in order to monitor the occurrence of maxima in Agulhas heat and salt spillage from the Indian to the Atlantic Ocean. Radiolarian-based paleotemperature transfer functions allowed to reconstruct the climatic history for the last 450 kyr at this location. A warm sea surface temperature anomaly during Marine Isotope Stage (MIS) 10 was recognized and traced to other oceanic records along the surface branch of the global thermolialine (THC) circulation system, and is particularly marked at locations where a strong interaction between oceanic and atmospheric overturning cells and fronts occurs. This anomaly is absent in the Vostok ice core deuterium, and in oceanic records from the Antarctic Zone. However, it is present in the deuterium excess record from the Vostok ice core, interpreted as reflecting the temperature at the moisture source site for the snow precipitated at Vostok Station. As atmospheric models predict a subtropical Indian source for such moisture, this provides the necessary teleconnection between East Antarctica and ODP Site 1089, as the subtropical Indian is also the source area of the Agulhas Current, the main climate agent at our study location. The presence of the MIS 10 anomaly in the delta(13)C foraminiferal records from the same core supports its connection to oceanic mechanisms, linking stronger Agulhas spillover intensity to increased productivity in the study area. We suggest, in analogy to modem oceanographic observations, this to be a consequence of a shallow nutricline, induced by eddy mixing and baroclinic tide generation, which are in turn connected to the flow geometry, and intensity, of the Agulhas Current as it flows past the Agulhas Bank. We interpret the intensified inflow of Agulhas Current to the South Atlantic as responding to the switch between lower and higher amplitude in the insolation forcing in the Agulhas Current source area. This would result in higher SSTs in the Cape Basin during the glacial MIS 10, due to the release into the South Atlantic of the heat previously accumulating in the subtropical and equatorial Indian and Pacific Ocean. If our explanation for the MIS 10 anomaly in terms of an insolation variability switch is correct, we might expect that a future Agulhas SSST anomaly event will further delay the onset of next glacial age. In fact, the insolation forcing conditions for the Holocene (the current interglacial) are very similar to those present during MIS 11 (the interglacial preceding MIS 10), as both periods are characterized by a low insolation variability for the Agulhas Current source area. Natural climatic variability will force the Earth system in the same direction as the anthropogenic global warming trend, and will thus lead to even warmer than expected global temperatures in the near future. (C) 2004 Elsevier B.V. All rights reserved.</t>
  </si>
  <si>
    <t>Alfred Wegener Inst Polar &amp; Marine Res, Columbusstr,POB 120161, D-27515 Bremerhaven, Germany.</t>
  </si>
  <si>
    <t>gcortese@awi-bremerhaven.de</t>
  </si>
  <si>
    <t>Cortese, Giuseppe/C-8281-2011</t>
  </si>
  <si>
    <t>Cortese, Giuseppe/0000-0003-1780-3371; Abelmann, Andrea/0000-0001-9432-0002</t>
  </si>
  <si>
    <t>10.1016/j.epsl.2004.03.029</t>
  </si>
  <si>
    <t>WOS:000222202700006</t>
  </si>
  <si>
    <t>Liu, JP; Yuan, XJ; Martinson, DG; Rind, D</t>
  </si>
  <si>
    <t>Re-evaluating Antarctic sea-ice variability and its teleconnections in a GISS global climate model with improved sea ice and ocean processes</t>
  </si>
  <si>
    <t>Antarctic sea-ice variability; coupled global climate model; improved GISS/CGCM; teleconnections</t>
  </si>
  <si>
    <t>THERMODYNAMICS; SENSITIVITY; THICKNESS</t>
  </si>
  <si>
    <t>This study re-evaluated simulated Antarctic sea-ice variability and its teleconnections in a NASA Goddard Institute for Space Studies (GISS) coupled global climate model (CGCM) with improved sea-ice and ocean processes. With the improvements to the parameterizations of sea-ice dynamics and thermodynamics and of sub-grid-scale ocean processes, the new version of the GISS/CGCM does indeed do a better job in the representations of the local/regional ice-ocean interactions with regard to (1) the seasonal distributions of the Antarctic sea-ice edges (SIE), and (2) the vertical temperature and salinity structure in the upper Southern Ocean and surface air temperature (SAT) climatology in the southern high latitudes compared with the control version. However, these encouraging local/regional improvements do not extend to the simulations of the polar and extrapolar climate teleconnections. There is no obvious change to the simulations of the dominant spatial covarying patterns of the SAT variability on either the regional (southern high latitudes) or global scales. The simulated teleconnections between Antarctic SIE and global SAT still show the weak El Nino-southern oscillation like correlation pattern in the eastern tropical Pacific, though the new version generates a stronger tropical Indian component. Some dominant observed teleconnection patterns in the western extreme of the tropical Pacific and over the tropical continents (in-phase relationship between tropical South America and Africa) are still not well represented or are missed in the Antarctic SIE and global SAT lead/lag correlation maps and the empirical orthogonal function analysis on those correlation maps. The possible causes of the weak teleconnections in the improved GISS/CGCM are briefly discussed. Copyright (C) 2004 Royal Meteorological Society.</t>
  </si>
  <si>
    <t>NASA, Goddard Inst Space Studies, New York, NY 10025 USA; Columbia Univ, Dept Earth &amp; Environm Sci, Palisades, NY 10964 USA; Columbia Univ, Lamont Doherty Earth Observ, Palisades, NY 10964 USA</t>
  </si>
  <si>
    <t>National Aeronautics &amp; Space Administration (NASA); NASA Goddard Space Flight Center; Goddard Institute for Space Studies; Columbia University; Columbia University</t>
  </si>
  <si>
    <t>Georgia Inst Technol, Sch Earth &amp; Atmospher Sci, 311 Ferst Dr, Atlanta, GA 30332 USA.</t>
  </si>
  <si>
    <t>jliu@eas.gatech.edu</t>
  </si>
  <si>
    <t>LIU, JIPING/N-6696-2016; Yuan, Xiaojun/AAI-7770-2020</t>
  </si>
  <si>
    <t>10.1002/joc.1040</t>
  </si>
  <si>
    <t>830FC</t>
  </si>
  <si>
    <t>WOS:000222106100004</t>
  </si>
  <si>
    <t>Glatthor, N; von Clarmann, T; Fischer, H; Grabowski, U; Höpfner, M; Kellmann, S; Kiefer, M; Linden, A; Milz, M; Steck, T; Stiller, GP; Tsidu, GM; Wang, DY; Funke, B</t>
  </si>
  <si>
    <t>Spaceborne ClO observations by the Michelson Interferometer for Passive Atmospheric Sounding (MIPAS) before and during the antarctic major warming in September/October 2002 -: art. no. D11307</t>
  </si>
  <si>
    <t>MIPAS; retrieval; remote sensing; tracer correlations; ozone loss</t>
  </si>
  <si>
    <t>CHLORINE MONOXIDE; SPRING STRATOSPHERE; LOW ALTITUDES; OZONE; WINTER; VORTEX; HCL; MICROWINDOWS; DESTRUCTION; BRO</t>
  </si>
  <si>
    <t>The first ClO profiles retrieved from limb emission spectra recorded by the Michelson Interferometer for Passive Atmospheric Sounding (MIPAS) Fourier transform spectrometer on board the European research satellite ENVISAT (Environmental Satellite) are presented. These measurements were taken between 8 September and 13 October 2002. They cover the Antarctic major warming around 25 September, an event which had never been observed before. Since ClO has only weak signatures in the midinfrared, more than a dozen of the strongest lines, all situated in the central P branch and Q branch region of the 1-0 band, were used for profile retrievals, which were based on constrained nonlinear least squares fitting. During the period of investigation, MIPAS measured typical ClO volume mixing ratios (vmrs) between 1 +/- 0.4 and 2 +/- 0.6 ppbv from 8 September until 23 September in contiguous parts of the dayside lower Antarctic stratosphere (400-625 K levels of potential temperature, Theta), i.e., before and at the beginning of the major warming. After 23 September no significant amounts of ClO were detected anymore, apart from some remains on 26 September. Daily averages of inside vortex daytime ClO showed a slight increase until about 17 September and a subsequent rapid ClO decrease. Further, a positive response of inside vortex nighttime ClO to increasing temperatures due to enhanced Cl2O2 dissociation was detected. Comparison with measurements of the Microwave Limb Sounder (MLS) on the Upper Atmospheric Research Satellite (UARS) from the years 1992-1997 generally showed a similar temporal development. Thus the warming event obviously happened too late to lead to a premature chlorine deactivation significantly different from previous Antarctic winters.</t>
  </si>
  <si>
    <t>Forschungszentrum Karlsruhe, D-76021 Karlsruhe, Germany; Univ Karlsruhe, Inst Meteorol &amp; Klimaforsch, D-76021 Karlsruhe, Germany; CSIC, Inst Astrofis Andalucia, E-18080 Granada, Spain</t>
  </si>
  <si>
    <t>norbert.glatthor@imk.fzk.de; thomas.clarmann@imk.fzk.de; herbert.fischer@imk.fzk.de; udo.grabowski@imk.fzk.de; michael.hoepfner@imk.fzk.de; sylvia.kellmann@imk.fzk.de; andrea.linden@imk.fzk.de; bernd@iaa.es</t>
  </si>
  <si>
    <t>Stiller, Gabriele P./A-7340-2013; Glatthor, Norbert/B-2141-2013; Kiefer, Michael/A-7254-2013; von Clarmann, Thomas/A-7287-2013; Tsidu, Gizaw Mengistu/AAG-6048-2019; Milz, Mathias/C-9899-2011; Funke, Bernd/C-2162-2008; Hopfner, Michael/A-7255-2013</t>
  </si>
  <si>
    <t>Stiller, Gabriele P./0000-0003-2883-6873; Milz, Mathias/0000-0002-4478-2185; Funke, Bernd/0000-0003-0462-4702; Hopfner, Michael/0000-0002-4174-9531; von Clarmann, Thomas/0000-0003-2219-3379</t>
  </si>
  <si>
    <t>D11</t>
  </si>
  <si>
    <t>D11307</t>
  </si>
  <si>
    <t>10.1029/2003JD004440</t>
  </si>
  <si>
    <t>833GS</t>
  </si>
  <si>
    <t>WOS:000222325600004</t>
  </si>
  <si>
    <t>Höpfner, M; von Clarmann, T; Fischer, H; Glatthor, N; Grabowski, U; Kellmann, S; Kiefer, M; Linden, A; Tsidu, GM; Milz, M; Steck, T; Stiller, GP; Wang, DY; Funke, B</t>
  </si>
  <si>
    <t>First spaceborne observations of Antarctic stratospheric ClONO2 recovery:: Austral spring 2002 -: art. no. D11308</t>
  </si>
  <si>
    <t>Antarctic stratospheric chlorine recovery; MIPAS ClONO2 retrieval; major stratospheric warming 2002</t>
  </si>
  <si>
    <t>LIMB EMISSION-SPECTRA; SOLAR OCCULTATION SPECTRA; APRIL 1993; CHLORINE; PROFILES; VORTEX; UARS; CLAES; HNO3; VALIDATION</t>
  </si>
  <si>
    <t>We report on the first spaceborne observations of ClONO2 recovery in the springtime Antarctic polar vortex, performed by the Michelson Interferometer for Passive Atmospheric Sounding (MIPAS) from 8 September to 13 October 2002. ClONO2 was retrieved by constrained nonlinear least squares fit from MIPAS measurements with a vertical resolution of 3.3-3.8 km and an estimated accuracy of 6-11% in the lower stratosphere (18-27 km). During the end of September 2002 an unusual major stratospheric warming affected the polar vortex. At the 475 K potential temperature level, ClONO2 showed a pronounced collar structure with high mixing ratios at the vortex edge and values of 0.5-0.6 ppbv in the inner region from 8 to 17 September. During the following 8 days, mean inner vortex ClONO2 increased by 0.8 ppbv accompanied by a decrease of ClO. Thus from 18 to 25 September the conversion into ClONO2 was a major pathway for chlorine deactivation at 475 K. After 25 September, ClONO2 decreased because of conversion into HCl. The onset of chlorine deactivation at 475 K is consistent with the latest polar stratospheric clouds detected by MIPAS on 18 September. At 625 K, mean inner vortex ClONO2 mixing ratios decreased from 2 to 1.35 ppbv from 8 September to 13 October. This evolution was interrupted by temporary chlorine activation from 12 to 16 September when values of 1.55 ppbv were reached. Comparison with previous measurements and model results of 1992 show similar chlorine partitioning at 475 K before the major warming in 2002. However, there is indication that in 2002 the evolution of chlorine deactivation at 475 K was characterized by a faster and more pronounced increase of ClONO2 compared with 1992.</t>
  </si>
  <si>
    <t>Forschungszentrum Karlsruhe, Inst Meteorol &amp; Klimaforsch, D-76021 Karlsruhe, Germany; CSIC, Inst Astrofis Andalucia, E-18080 Granada, Spain</t>
  </si>
  <si>
    <t>Helmholtz Association; Karlsruhe Institute of Technology; Consejo Superior de Investigaciones Cientificas (CSIC); CSIC - Instituto de Astrofisica de Andalucia (IAA)</t>
  </si>
  <si>
    <t>Forschungszentrum Karlsruhe, Inst Meteorol &amp; Klimaforsch, Postfach 3640, D-76021 Karlsruhe, Germany.</t>
  </si>
  <si>
    <t>michael.hoepfner@imk.fzk.de; thomas.clarmann@imk.fzk.de; herbert.fischer@imk.fzk.de; norbert.glatthor@imk.fzk.de; udo.grabowski@imk.fzk.de; sylvia.kellmann@imk.fzk.de; michael.kiefer@imk.fzk.de; andrea.linden@imk.fzk.de; gizaw.mengistu.tsidu@imk.fzk.de; mathias.milz@imk.fzk.de; tilman.steck@imk.fzk.de; gabriele.stiller@imk.fzk.de; ding-yi.wang@imk.fzk.de</t>
  </si>
  <si>
    <t>Kiefer, Michael/A-7254-2013; Glatthor, Norbert/B-2141-2013; von Clarmann, Thomas/A-7287-2013; Stiller, Gabriele P./A-7340-2013; Milz, Mathias/C-9899-2011; Tsidu, Gizaw Mengistu/AAG-6048-2019; Funke, Bernd/C-2162-2008; Hopfner, Michael/A-7255-2013</t>
  </si>
  <si>
    <t>Stiller, Gabriele P./0000-0003-2883-6873; Funke, Bernd/0000-0003-0462-4702; Hopfner, Michael/0000-0002-4174-9531; von Clarmann, Thomas/0000-0003-2219-3379; Milz, Mathias/0000-0002-4478-2185</t>
  </si>
  <si>
    <t>D11308</t>
  </si>
  <si>
    <t>10.1029/2004JD004609</t>
  </si>
  <si>
    <t>WOS:000222325600006</t>
  </si>
  <si>
    <t>Meredith, NP; Horne, RB; Thorne, RM; Summers, D; Anderson, RR</t>
  </si>
  <si>
    <t>Substorm dependence of plasmaspheric hiss</t>
  </si>
  <si>
    <t>inner magnetosphere; wave-particle interactions; plasmaspheric hiss; substorms; energetic electrons; relativistic electrons</t>
  </si>
  <si>
    <t>WHISTLER-MODE CHORUS; MAGNETOSPHERICALLY REFLECTED WHISTLERS; RELATIVISTIC ELECTRON ACCELERATION; EARTHS INNER MAGNETOSPHERE; RADIATION BELT ELECTRONS; PITCH-ANGLE DIFFUSION; OUTER-ZONE ELECTRONS; ION-CYCLOTRON WAVES; RESONANT DIFFUSION; SCATTERING LOSS</t>
  </si>
  <si>
    <t>We analyze wave and particle data from the CRRES satellite to determine the variability of plasmaspheric hiss (0.1 &lt; f &lt; 2 kHz) with respect to substorm activity as measured by AE*, defined as the maximum value of the AE index in the previous 3 hours. The study is relevant to modeling the acceleration and loss of relativistic electrons during storms and understanding the origin of the waves. The plasmaspheric hiss amplitudes depend on spatial location and susbtorm activity, with the largest waves being observed during high levels of substorm activity. Our survey of the global distribution of hiss indicates a strong day-night asymmetry with two distinct latitudinal zones of peak wave activity primarily on the dayside. Equatorial hiss (\lambda(m)\ &lt; 15 degrees) is strongest during active conditions (AE* &gt; 500 nT), with an average amplitude of 40 +/- 1 pT observed in the region 2 &lt; L &lt; 4 from 0600 to 2100 MLT. Midlatitude (\lambda(m)\ &gt; 15degrees) hiss is strongest during active conditions with an average amplitude of 47 +/- 2 pT in the region 2 &lt; L &lt; 4 from 0800 to 1800 MLT but extending out beyond L = 6 from 1200 to 1500 MLT. Equatorial hiss at 600 Hz has minimum cyclotron resonant energies ranging from similar to20 keV at L = 6 to similar to1 MeV at L = 2, whereas midlatitude hiss at 600 Hz has minimum resonant energies ranging from similar to50 keV at L = 6 to similar to2 MeV at L = 2. The enhanced equatorial and midlatitude hiss emissions are associated with electron flux enhancements in the energy range of tens to hundreds of keV, suggesting that these electrons are the most likely source of plasmaspheric hiss. The enhanced levels of plasmaspheric hiss during substorm activity will lead to increased pitch-angle scattering of energetic electrons and may play an important role in relativistic electron dynamics during storms.</t>
  </si>
  <si>
    <t>UCL, Mullard Space Sci Lab, Dorking RH5 6NT, Surrey, England; British Antarctic Survey, NERC, Cambridge CB3 0ET, England; Univ Calif Los Angeles, Dept Atmospher Sci, Los Angeles, CA 90095 USA; Mem Univ Newfoundland, Dept Math &amp; Stat, St John, NF A1C 5S7, Canada; Univ KwaZulu Natal, Sch Phys, Durban, South Africa; Univ Iowa, Dept Phys &amp; Astron, Iowa City, IA 52242 USA</t>
  </si>
  <si>
    <t>University of London; University College London; UK Research &amp; Innovation (UKRI); Natural Environment Research Council (NERC); NERC British Antarctic Survey; University of California System; University of California Los Angeles; Memorial University Newfoundland; University of Kwazulu Natal; University of Iowa</t>
  </si>
  <si>
    <t>UCL, Mullard Space Sci Lab, Holmbury St Mary, Dorking RH5 6NT, Surrey, England.</t>
  </si>
  <si>
    <t>npm@mssl.ucl.ac.uk; r.horne@bas.ac.uk; rmt@atmos.ucla.edu; dsummers@math.mun.ca; roger-r-anderson@uiowa.edu</t>
  </si>
  <si>
    <t>Horne, Richard B/U-3764-2019; Meredith, Nigel P/C-5806-2018</t>
  </si>
  <si>
    <t>Horne, Richard B/0000-0002-0412-6407; Meredith, Nigel/0000-0001-5032-3463</t>
  </si>
  <si>
    <t>A6</t>
  </si>
  <si>
    <t>A06209</t>
  </si>
  <si>
    <t>10.1029/2004JA010387</t>
  </si>
  <si>
    <t>833HD</t>
  </si>
  <si>
    <t>WOS:000222326800003</t>
  </si>
  <si>
    <t>Wandres, AM; Bradshaw, JD; Weaver, S; Maas, R; Ireland, T; Eby, N</t>
  </si>
  <si>
    <t>Provenance of the sedimentary Rakaia sub-terrane, Torlesse Terrane, South Island, New Zealand: the use of igneous clast compositions to define the source</t>
  </si>
  <si>
    <t>SEDIMENTARY GEOLOGY</t>
  </si>
  <si>
    <t>sandstone provenance; igneous clasts; zircon geochronology; isotope chemistry; Rakaia sub-terrane; Torlesse terrane; New Zealand; Gondwana margin</t>
  </si>
  <si>
    <t>MEDIAN TECTONIC ZONE; LACHLAN FOLD BELT; EARLY PALEOZOIC TERRANES; SR ISOTOPIC COMPOSITION; NORTHERN VICTORIA LAND; DUN MOUNTAIN OPHIOLITE; U-PB GEOCHRONOLOGY; NEW-ENGLAND OROGEN; MARIE BYRD LAND; EASTERN AUSTRALIA</t>
  </si>
  <si>
    <t>The Permian to Late Triassic Rakaia sub-terrane-part of the Torlesse superterrane of the New Zealand Eastern Province-is an accretionary complex that comprises an enormous volume of quartzofeldspathic sandstones and mudstones with subsidiary conglomerates plus minor oceanic assemblages. The field of provenance analysis has undergone a revolution with the development of single-crystal isotope dating techniques using mainly silt- to sand-sized single mineral grains. Fine sand and mud may be transported over thousands of kilometres with potential problems for provenance studies, reinforcing the need for caution when interpreting provenance evidence from single heavy mineral grains. This study focuses on coarser-grained rocks, notably conglomerates, which involve much shorter transport distances and therefore may be used to trace proximal sources. A detailed rock sampling programme and geochronological, geochemical and Sr-Nd isotope analysis of igneous clasts from four conglomerates (Boundary Creek, Te Moana, McKenzie Pass and Lake Hill) have broadly characterised the igneous source for the Rakaia sub-terrane. SHRIMP U-Pb zircon ages of Rakaia sub-terrane igneous clasts define three distinct periods of magmatic crystallisation. The first period ranges in age from 292 to 243 Ma (Permian to Middle Triassic) with two clusters recognisable: a minor Early Permian one ranging in age from 292 to 277 Ma, and a major Late Permian to Middle Triassic one from 258 to 243 Ma. All these clasts are confined to the Kazanian (Permian) Te Moana, the Dorashamian (Pennian) McKenzie Pass and the Camian (Late Triassic) Lake Hill conglomerates. The clasts, which are subduction-related calc-alkaline to high-K calc-alkaline, and metaluminous to peraluminous, range in lithology from andesite to rhyolite and their plutonic equivalents. Many clasts at Lake Hill have chemical compositions characteristic of partial melts of a source of basaltic composition in equilibrium with amphibole +/- pyroxene +/- garnet (adakites), indicative of a thick crust in the clast source area. The second period comprises Carboniferous, calc-alkaline, metaluminous to weakly peraluminous clasts of the Pen-man Boundary Creek conglomerate, ranging in age from 356 to 325 Ma. The third group consists of two Cambrian clasts, a monzogranite from Te Moana (c. 497 +/- 8 Ma) and a dacite from Lake Hill (c. 517 Ma). Geochronology, geochemistry and Sr-Nd isotopes of Rakaia igneous clasts correlate broadly with those of Permian to Triassic plutons and volcanics from the Amundsen and Ross provinces of Marie Byrd Land. Thus, the Antarctic sector of the Panthalassan margin of Gondwana is the probable source for the Rakaia sub-terranes as opposed to the other postulated sources in Eastern Australia. (C) 2004 Elsevier B.V. All rights reserved.</t>
  </si>
  <si>
    <t>Univ Canterbury, Dept Geol Sci, Christchurch, New Zealand; Univ Melbourne, Isotope Geochem Lab, Parkville, Vic 3010, Australia; Australian Natl Univ, Res Sch Earth Sci, Geochronol &amp; Isotope Geochem, Canberra, ACT 0200, Australia; Univ Massachusetts, Dept Environm Earth &amp; Atmospher Sci, Lowell, MA 01854 USA</t>
  </si>
  <si>
    <t>University of Canterbury; University of Melbourne; Australian National University; University of Massachusetts System; University of Massachusetts Lowell</t>
  </si>
  <si>
    <t>Wandres, AM (corresponding author), Univ Canterbury, Dept Geol Sci, Private Bag 4800, Christchurch, New Zealand.</t>
  </si>
  <si>
    <t>anekant.wandres@canterbury.ac.nz; john.bradshaw@canterbury.ac.nz; steve.weaver@canterbury.ac.nz; maasr@unimelb.edu.au; Trevor.Ireland@anu.edu.au; Nelson_Eby@uml.edu</t>
  </si>
  <si>
    <t>Ireland, Trevor R./GSJ-1884-2022; Eby, Nelson/GPC-8755-2022; Ireland, Trevor R/A-4993-2008</t>
  </si>
  <si>
    <t>Ireland, Trevor R/0000-0001-7617-3889; Eby, G. Nelson/0000-0001-8702-1039</t>
  </si>
  <si>
    <t>0037-0738</t>
  </si>
  <si>
    <t>SEDIMENT GEOL</t>
  </si>
  <si>
    <t>Sediment. Geol.</t>
  </si>
  <si>
    <t>10.1016/j.sedgeo.2004.03.003</t>
  </si>
  <si>
    <t>834RJ</t>
  </si>
  <si>
    <t>WOS:000222428000003</t>
  </si>
  <si>
    <t>Tidal modulation of the gravity-wave momentum flux in the Antarctic mesosphere</t>
  </si>
  <si>
    <t>LOWER THERMOSPHERE; MIDDLE ATMOSPHERE; FLUCTUATIONS; VARIABILITY; BREAKING; SPECTRUM; HALLEY; MODEL; TIDES</t>
  </si>
  <si>
    <t>Airglow imager and dynasonde/IDI radar wind measurements at Halley Station, Antarctica (76degreesS, 27degreesW) have been used to estimate the diurnal variation of the vertical fluxes of horizontal momentum carried by high-frequency atmospheric gravity waves. The cross-correlation coefficients between the vertical and horizontal wind perturbations were calculated from the sodium airglow imager data collected during four consecutive nights of near total darkness during July of 2000. These were combined with wind-velocity variances from coincident radar measurements to estimate the upper limit of the vertical flux of horizontal momentum during three-hour intervals throughout the period. The resulting momentum flux showed a marked semi-diurnal oscillation in the zonal and meridional components. Calculations of the momentum flux through the Na airglow show variations in period and phase consistent with the observations, implying that tidal propagation and modulated gravity-wave forcing may both affect observed wind variations.</t>
  </si>
  <si>
    <t>British Antarctic Survey, Div Phys Sci, Cambridge CB3 0ET, England; Univ Illinois, Dept Elect &amp; Comp Engn, Urbana, IL 61801 USA; Utah State Univ, Dept Phys, Logan, UT 84322 USA</t>
  </si>
  <si>
    <t>Espy, PJ (corresponding author), British Antarctic Survey, Div Phys Sci, High Cross,Madingley Rd, Cambridge CB3 0ET, England.</t>
  </si>
  <si>
    <t>pje@bas.ac.uk</t>
  </si>
  <si>
    <t>Bell, Matthew/IQR-9709-2023</t>
  </si>
  <si>
    <t>JUN 12</t>
  </si>
  <si>
    <t>L11111</t>
  </si>
  <si>
    <t>10.1029/2004GL019624</t>
  </si>
  <si>
    <t>829XO</t>
  </si>
  <si>
    <t>WOS:000222085200002</t>
  </si>
  <si>
    <t>Wadhams, P; Munk, W</t>
  </si>
  <si>
    <t>Ocean freshening, sea level rising, sea ice melting</t>
  </si>
  <si>
    <t>WHALING RECORDS; EXTENT</t>
  </si>
  <si>
    <t>Estimates of 20th Century sea level rise are typically 1.5 to 2 mm/y, with a steric contribution of (0.5 +/- 0.2) mm/y. Estimates of the eustatic contribution vary widely between -1.1 and + 1.3 mm/y. We attempt an independent estimate of eustatic sea level rise based on the measured freshening of the global ocean, and with attention to the contribution from melting of sea ice (which affects freshening but not sea level). Our estimate is based on a secular decrease in global average salinity estimated by Antonov et al. [2002] which, if assumed due entirely to run-off, would produce a eustatic rise of (1.8 +/- 0.7) mm/y, and would correspond to a run-off volume of 650 cu km/y. Measurements with upward looking sonars mounted on submarines have suggested a historical thinning of the arctic ice sheet equivalent to 525 +/- 105 cu km/y. Allowing for some growth in Antarctic sea ice, a reduced figure of (430 +/- 130) cu km/y is obtained, allowing about 220 cu km/y of run-off from land sources such as glaciers. This would produce a eustatic rise of only 0.6 mm/y, for a total of 1.1 mm/y, somewhat less than IPCC estimates. This also has implications for our understanding of glacial retreat for a total of 1.1 mm/y.</t>
  </si>
  <si>
    <t>Univ Cambridge, Dept Appl Math &amp; Theoret Phys, Cambridge CB3 0WA, England; Dunstaffnage Marine Res Lab, Scottish Assoc Marine Sci, Oban PA34 4AD, Argyll, Scotland; Univ Calif San Diego, Scripps Inst Oceanog, La Jolla, CA 92093 USA</t>
  </si>
  <si>
    <t>University of Cambridge; UHI Millennium Institute; University of California System; University of California San Diego; Scripps Institution of Oceanography</t>
  </si>
  <si>
    <t>Univ Cambridge, Dept Appl Math &amp; Theoret Phys, Cambridge CB3 0WA, England.</t>
  </si>
  <si>
    <t>p.wadhams@damtp.cam.ac.uk</t>
  </si>
  <si>
    <t>L11311</t>
  </si>
  <si>
    <t>10.1029/2004GL020039</t>
  </si>
  <si>
    <t>WOS:000222085200005</t>
  </si>
  <si>
    <t>Carter, RM; Gammon, P</t>
  </si>
  <si>
    <t>New Zealand maritime glaciation: Millennial-scale southern climate change since 3.9 Ma</t>
  </si>
  <si>
    <t>ICE CORE; CIRCULATION; ANTARCTICA; GREENLAND; ATLANTIC; NORTH; ALPS</t>
  </si>
  <si>
    <t>Ocean Drilling Program Site 1119 is ideally located to intercept discharges of sediment from the mid-latitude glaciers of the New Zealand Southern Alps. The natural gamma ray signal from the site's sediment core contains a history of the South Island mountain ice cap since 3.9 million years ago (Ma). The younger record, to 0.37 Ma, resembles the climatic history of Antarctica as manifested by the Vostok ice core. Beyond, and back to the late Pliocene, the record may serve as a proxy for both mid-latitude and Antarctic polar plateau air temperature. The gamma ray signal, which is atmospheric, also resembles the ocean climate history represented by oxygen isotope time series.</t>
  </si>
  <si>
    <t>Univ Adelaide, Sch Earth &amp; Environm Sci, Adelaide, SA 5005, Australia</t>
  </si>
  <si>
    <t>University of Adelaide</t>
  </si>
  <si>
    <t>JUN 11</t>
  </si>
  <si>
    <t>10.1126/science.1093726</t>
  </si>
  <si>
    <t>827WL</t>
  </si>
  <si>
    <t>WOS:000221934300047</t>
  </si>
  <si>
    <t>Natzio, C</t>
  </si>
  <si>
    <t>Cherry-Garrard at the Pole (History of Antarctic exploration)</t>
  </si>
  <si>
    <t>TLS-THE TIMES LITERARY SUPPLEMENT</t>
  </si>
  <si>
    <t>TIMES SUPPLEMENTS LIMITED</t>
  </si>
  <si>
    <t>MARKET HARBOROUGH</t>
  </si>
  <si>
    <t>TOWER HOUSE, SOVEREIGN PARK, MARKET HARBOROUGH LE87 4JJ, ENGLAND</t>
  </si>
  <si>
    <t>0307-661X</t>
  </si>
  <si>
    <t>TLS-TIMES LIT SUPPL</t>
  </si>
  <si>
    <t>TLS-Times Lit. Suppl.</t>
  </si>
  <si>
    <t>Humanities, Multidisciplinary</t>
  </si>
  <si>
    <t>Arts &amp; Humanities - Other Topics</t>
  </si>
  <si>
    <t>834AP</t>
  </si>
  <si>
    <t>WOS:000222384100017</t>
  </si>
  <si>
    <t>Blazewicz-Paskowycz, M</t>
  </si>
  <si>
    <t>A description of a new species of Typhlotanais (Crustacea: Tanaidacea) from West Antarctic with a note on the genus</t>
  </si>
  <si>
    <t>Tanaidacea; Nototanaidae; Typhlotanais; Admiralty Bay; Antarctic</t>
  </si>
  <si>
    <t>The male and female of Typhlotanais grahami n. sp., from shallow waters ( 2 - 120 m) in Admiralty Bay ( South Shetland Islands, the Antarctic) are described. The revision of Typhlotanais sensu lato is currently underway, and there are enough shared characters to place the new species in the same genus. The female of the new species is characterized by ( 1) a smooth carapace, as long as it is wide; ( 2) pereonites smoothly rounded laterally; ( 3) a rounded pleotelson; ( 4) an undulated, smooth, spineless mandible molar process; ( 5) nine terminal spiniform setae ( two are fused together) on the maxillule; ( 6) a chela (propodus) of similar size to the carpus, and twice as long as it is wide; ( 7) a reduced proximal seta on the pleopodal endopod; ( 8) a uropod exopodite with one article, about 2/3 of the endopodal length, which is longer distally with a large basal part and a bend about a quarter of the way along its length.</t>
  </si>
  <si>
    <t>Univ Lodz, Lab Polar Biol &amp; Oceanobiol, PL-90237 Lodz, Poland</t>
  </si>
  <si>
    <t>University of Lodz</t>
  </si>
  <si>
    <t>Blazewicz-Paskowycz, M (corresponding author), Univ Lodz, Lab Polar Biol &amp; Oceanobiol, Banacha 12-16, PL-90237 Lodz, Poland.</t>
  </si>
  <si>
    <t>magdab@biol.uni.lodz.pl</t>
  </si>
  <si>
    <t>Błażewicz, Magdalena/J-5175-2017</t>
  </si>
  <si>
    <t>872MY</t>
  </si>
  <si>
    <t>WOS:000225212500001</t>
  </si>
  <si>
    <t>Nakayama, N; Wilson, SC; Stadelmann, LE; Lee, HLD; Cable, CA; Arumainayagam, CR</t>
  </si>
  <si>
    <t>Low-energy electron-induced chemistry of CF2Cl2:: Implications for the ozone hole?</t>
  </si>
  <si>
    <t>NEGATIVE-ION FORMATION; STIMULATED DESORPTION; RADIATION-CHEMISTRY; INDUCED DISSOCIATION; F-ENHANCEMENTS; AMMONIA ICES; ATTACHMENT; PHASE; CHLORINE; IMPACT</t>
  </si>
  <si>
    <t>We report on the first direct investigation of the low-energy electron-induced production of neutral species from the chlorofluorocarbon CF2Cl2, commonly known as Freon-12 or CFC-12. Our experiments were motivated by a newly proposed hypothesis, which suggests that low-energy electrons produced by cosmic rays, in addition to UV-vis photons from the sun, interact with chlorofluorocarbons to produce chlorine atoms that subsequently destroy ozone in the Antarctic. Our experimental procedure involves low-energy (5-100 eV) electron irradiation of nanoscale thin films (similar to10 Angstrom thickness) of CF2Cl2 grown at 100 K on a molybdenum single crystal in an ultrahigh vacuum chamber (p similar to 1 x 10(-10) Tort). Post-irradiation temperature-programmed desorption experiments were used to identify C2F4Cl2, C2F3Cl3, C2F2Cl4, C2F3Cl, C2F2Cl2, and C2F4 as electron-induced radiolysis products of CF2Cl2. In contrast to previous studies of photon-induced dissociation, our studies of electron-induced dissociation demonstrate facile C-F bond cleavage in CF2Cl2. This finding may have implications for understanding the partitioning of Cl and F among source, sink, and reservoir gases in the stratosphere.</t>
  </si>
  <si>
    <t>Wellesley Coll, Dept Chem, Wellesley, MA 02481 USA</t>
  </si>
  <si>
    <t>Wellesley College</t>
  </si>
  <si>
    <t>Wellesley Coll, Dept Chem, Wellesley, MA 02481 USA.</t>
  </si>
  <si>
    <t>carumain@wellesley.edu</t>
  </si>
  <si>
    <t>Arumainayagam, Chris R/F-1390-2010</t>
  </si>
  <si>
    <t>Arumainayagam, Chris/0000-0002-0722-1151</t>
  </si>
  <si>
    <t>JUN 10</t>
  </si>
  <si>
    <t>10.1021/jp031319j</t>
  </si>
  <si>
    <t>826MO</t>
  </si>
  <si>
    <t>WOS:000221833400061</t>
  </si>
  <si>
    <t>Augustin, L; Barbante, C; Barnes, PRF; Barnola, JM; Bigler, M; Castellano, E; Cattani, O; Chappellaz, J; DahlJensen, D; Delmonte, B; Dreyfus, G; Durand, G; Falourd, S; Fischer, H; Flückiger, J; Hansson, ME; Huybrechts, P; Jugie, R; Johnsen, SJ; Jouzel, J; Kaufmann, P; Kipfstuhl, J; Lambert, F; Lipenkov, VY; Littot, GVC; Longinelli, A; Lorrain, R; Maggi, V; Masson-Delmotte, V; Miller, H; Mulvaney, R; Oerlemans, J; Oerter, H; Orombelli, G; Parrenin, F; Peel, DA; Petit, JR; Raynaud, D; Ritz, C; Ruth, U; Schwander, J; Siegenthaler, U; Souchez, R; Stauffer, B; Steffensen, JP; Stenni, B; Stocker, TF; Tabacco, IE; Udisti, R; van de Wal, RSW; van den Broeke, M; Weiss, J; Wilhelms, F; Winther, JG; Wolff, EW; Zucchelli, M</t>
  </si>
  <si>
    <t>EPICA Community Members</t>
  </si>
  <si>
    <t>Eight glacial cycles from an Antarctic ice core</t>
  </si>
  <si>
    <t>DOME CONCORDIA; EAST ANTARCTICA; ATMOSPHERIC CO2; CLIMATE; VOSTOK; RECORD; MICROSTRUCTURE; ISOTOPE</t>
  </si>
  <si>
    <t>The Antarctic Vostok ice core provided compelling evidence of the nature of climate, and of climate feedbacks, over the past 420,000 years. Marine records suggest that the amplitude of climate variability was smaller before that time, but such records are often poorly resolved. Moreover, it is not possible to infer the abundance of greenhouse gases in the atmosphere from marine records. Here we report the recovery of a deep ice core from Dome C, Antarctica, that provides a climate record for the past 740,000 years. For the four most recent glacial cycles, the data agree well with the record from Vostok. The earlier period, between 740,000 and 430,000 years ago, was characterized by less pronounced warmth in interglacial periods in Antarctica, but a higher proportion of each cycle was spent in the warm mode. The transition from glacial to interglacial conditions about 430,000 years ago ( Termination V) resembles the transition into the present interglacial period in terms of the magnitude of change in temperatures and greenhouse gases, but there are significant differences in the patterns of change. The interglacial stage following Termination V was exceptionally long - 28,000 years compared to, for example, the 12,000 years recorded so far in the present interglacial period. Given the similarities between this earlier warm period and today, our results may imply that without human intervention, a climate similar to the present one would extend well into the future.</t>
  </si>
  <si>
    <t>CNRS, Lab Glaciol &amp; Geophys Environm, F-38042 St Martin Dheres, France; Univ Venice, Dept Environm Sci, I-30123 Venice, Italy; British Antarctic Survey, Cambridge CB3 0ET, England; Univ Bern, Inst Phys, CH-3012 Bern, Switzerland; Univ Florence, Dept Chem, Analyt Chem Sect, I-50019 Florence, Italy; CE Saclay, Inst Pierre Simon Laplace, Lab Sci Climat &amp; Environm, UMR 1572,CEA,CNRS, F-91191 Gif Sur Yvette, France; Univ Copenhagen, Niels Bohr Inst Astron Phys &amp; Geophys, DK-2100 Copenhagen, Denmark; Univ Milano Bicocca, Dept Sci Ambiente &amp; Terr, I-20126 Milan, Italy; Alfred Wegener Inst Polar &amp; Marine Res, D-27515 Bremerhaven, Germany; Stockholm Univ, Dept Phys Geog &amp; Quaternary Geol, S-10691 Stockholm, Sweden; Inst Polar Francais Paul Amile Victor IPEV, F-29280 Plouzane, France; Arctic &amp; Antarctic Res Inst, St Petersburg 199397, Russia; Univ Parma, Dept Earth Sci, I-43100 Parma, Italy; Free Univ Brussels, Dept Sci Terre &amp; Environm, Fac Sci, B-1050 Brussels, Belgium; Inst Marine &amp; Atmospher Res Utrecht, NL-3584 CC Utrecht, Netherlands; Univ Trieste, Dept Geol Environm &amp; Marine Sci, I-34127 Trieste, Italy; Univ Milan, Dept Earth Sci, I-20129 Milan, Italy; Norwegian Polar Res Inst, N-9296 Tromso, Norway; CRE Casaccia, ENEA, I-00060 Santa Maria Di Galeria, RM, Italy</t>
  </si>
  <si>
    <t>Centre National de la Recherche Scientifique (CNRS); Universita Ca Foscari Venezia; UK Research &amp; Innovation (UKRI); Natural Environment Research Council (NERC); NERC British Antarctic Survey; University of Bern; University of Florence; Universite Paris Saclay; CEA; Centre National de la Recherche Scientifique (CNRS); Universite Paris Cite; University of Copenhagen; Niels Bohr Institute; University of Milano-Bicocca; Helmholtz Association; Alfred Wegener Institute, Helmholtz Centre for Polar &amp; Marine Research; Stockholm University; Arctic &amp; Antarctic Research Institute; University of Parma; Universite Libre de Bruxelles; Utrecht University; University of Trieste; University of Milan; Norwegian Polar Institute; Italian National Agency New Technical Energy &amp; Sustainable Economics Development</t>
  </si>
  <si>
    <t>CNRS, Lab Glaciol &amp; Geophys Environm, BP 96, F-38042 St Martin Dheres, France.</t>
  </si>
  <si>
    <t>Bigler, Matthias/HTT-3872-2023; Masson-Delmotte, Valerie L/G-1995-2011; Wilhelms, Frank/KEI-8426-2024; Steffensen, Jorgen Peder/JFS-7831-2023; Wolff, Eric W/D-7925-2014; raynaud, dominique/ABG-4718-2020; Chappellaz, Jérôme A./A-4872-2011; Maggi, Valter/AAX-5728-2020; Stocker, Thomas F/B-1273-2013; Maggi, Valter/E-1878-2014; Dahl-Jensen, Dorthe/AAO-6951-2020; Delmonte, Barbara/L-2555-2015; Parrenin, Frédéric/H-3054-2014; Oerlemans, Johannes/G-3802-2011; Raynaud, Dominique/H-9626-2016; Barbante, Carlo/B-3195-2011; Udisti, Roberto/M-7966-2015; Fluckiger, Jacqueline/G-3457-2011; van de wal, roderik/D-1705-2011; Lambert, Fabrice/M-2003-2014; Van den Broeke, Michiel R./F-7867-2011; Bishnoi, Mamta/AAQ-8346-2021; Barnes, Piers/F-1558-2010; Huybrechts, Philippe/J-5278-2013; Lipenkov, Vladimir/Q-8262-2016; Fischer, Hubertus/A-1211-2014; Mulvaney, Robert/K-3929-2012</t>
  </si>
  <si>
    <t>Bigler, Matthias/0000-0003-0184-4013; Masson-Delmotte, Valerie L/0000-0001-8296-381X; Wilhelms, Frank/0000-0001-7688-3135; Steffensen, Jorgen Peder/0000-0002-5516-1093; Wolff, Eric W/0000-0002-5914-8531; Maggi, Valter/0000-0001-6287-1213; Dahl-Jensen, Dorthe/0000-0002-1474-1948; Delmonte, Barbara/0000-0002-9074-2061; Parrenin, Frédéric/0000-0002-9489-3991; Udisti, Roberto/0000-0003-4440-8238; van de wal, roderik/0000-0003-2543-3892; Lambert, Fabrice/0000-0002-2192-024X; Van den Broeke, Michiel R./0000-0003-4662-7565; Bishnoi, Mamta/0000-0003-4987-0536; Barbante, Carlo/0000-0003-4177-2288; Miller, Heinrich/0000-0003-1015-2828; Barnes, Piers/0000-0002-7537-8759; Huybrechts, Philippe/0000-0003-1406-0525; Stenni, Barbara/0000-0003-4950-3664; Ritz, Catherine/0000-0003-0785-8571; Durand, Gael/0000-0001-8979-2355; Becagli, Silvia/0000-0003-3633-4849; Lipenkov, Vladimir/0000-0003-4221-5440; Fischer, Hubertus/0000-0002-2787-4221; Mulvaney, Robert/0000-0002-5372-8148</t>
  </si>
  <si>
    <t>10.1038/nature02599</t>
  </si>
  <si>
    <t>827PJ</t>
  </si>
  <si>
    <t>WOS:000221912600031</t>
  </si>
  <si>
    <t>Oerlemans, J</t>
  </si>
  <si>
    <t>Correcting the Cenozoic δ18O deep-sea temperature record for Antarctic ice volume</t>
  </si>
  <si>
    <t>deep-sea temperature; ice volume; Antarctic ice sheet; oxygen-isotope record</t>
  </si>
  <si>
    <t>HISTORY; OCEAN; GLACIATION; CLIMATE; SHEET</t>
  </si>
  <si>
    <t>The oxygen isotope signal in benthic foraminifera front deep-sea cores is mainly determined by deep-ocean temperature and land ice volume. Separating the temperature and ice volume signals is a key step ill understanding the evolution of Cenozoic climate. Except for the last few million years, fluctuations in land ice volume were determined mainly by the size of the Antarctic ice sheet. Here a simplified Antarctic ice-sheet model and composite deep-sea oxygen isotope records are used to derive a deep-sea temperature history for the Cenozoic. The ice-sheet model is forced with the oxygen-isotope record, which is instantaneously corrected for the calculated ice volume. Therefore, the resulting deep-sea temperature and Antarctic ice volume curves are mutually; consistent. The temperature record of Lear et al. [Science 287 (2000) 269], derived from the Mg/Ca ratio in benthic calcite, is also used to force the ice-sheet model. The resulting ice-volume does not agree well with the ice-volume history inferred by Lear et al. from a comparison of Mg/Ca and delta(18)O records. The most important points emerging from this study are: The Cenozoic delta(18)O record from benthic forams is a truly mixed signal (ice volume and deep-sea temperature contribute equally to the variance). For the period of 45 to 30 Ma ago, delta(18)O temperatures are significantly lower than Mg/Ca temperatures. Rapid nonlinear build-up of a continental-scale ice sheet on the Antarctic continent call easily occur for a linear cooling rate. It is unlikely that the method of Lear et al. provides a reliable measure of ice Volume. The cooling rate at the beginning of the Pliocene is much larger in the delta(18)O temperature curves than in the Mg/Ca temperature curve. (C) 2004 Elsevier B.V. All rights reserved.</t>
  </si>
  <si>
    <t>Univ Utrecht, Inst Marine &amp; Atmospher Res, Princetonplein 5, NL-3584 CC Utrecht, Netherlands.</t>
  </si>
  <si>
    <t>j.oerlemans@phys.uu.nl</t>
  </si>
  <si>
    <t>10.1016/j.palaeo.2004.03.004</t>
  </si>
  <si>
    <t>831KD</t>
  </si>
  <si>
    <t>WOS:000222192400002</t>
  </si>
  <si>
    <t>Toole, DA; Kieber, DJ; Kiene, RP; White, EM; Bisgrove, J; del Valle, DA; Slezak, D</t>
  </si>
  <si>
    <t>High dimethylsulfide photolysis rates in nitrate-rich Antarctic waters</t>
  </si>
  <si>
    <t>PHOTOCHEMISTRY; DMSP; SEAWATER; NITRITE</t>
  </si>
  <si>
    <t>The photochemistry of dimethylsulfide (DMS) was examined in the Southern Ocean to assess its impact on the biogeochemical dynamics of DMS in Antarctic waters. Very high DMS photolysis rate constants (0.16-0.23 h(-1)) were observed in surface waters exposed to full sunlight. DMS photolysis rates increased linearly with added nitrate concentrations, and 35% of the DMS loss in unamended samples was attributed to the photochemistry of ambient nitrate (29 muM). Experiments with optical filters showed that the UV-A band of sunlight (320-400 nm) accounted for similar to65% of DMS photolysis suggesting that dissolved organic matter was the main photosensitizer for DMS photolysis. During the austral spring, DMS photolysis was the dominant loss mechanism under non-bloom and non-ice cover conditions owing to the high doses and deep penetration of UV radiation in the water column, low observed microbial consumption rates, and high in situ nitrate concentrations.</t>
  </si>
  <si>
    <t>SUNY Coll Environm Sci &amp; Forestry, Dept Chem, Syracuse, NY 13210 USA; Univ S Alabama, Dept Marine Sci, Mobile, AL 36688 USA; Dauphin Isl Sea Lab, Dauphin Isl, AL 36528 USA; Woods Hole Oceanog Inst, Dept Marine Chem &amp; Geochem, Woods Hole, MA 02543 USA</t>
  </si>
  <si>
    <t>State University of New York (SUNY) System; State University of New York (SUNY) College of Environmental Science &amp; Forestry; University of South Alabama; Dauphin Island Sea Lab; Woods Hole Oceanographic Institution</t>
  </si>
  <si>
    <t>SUNY Coll Environm Sci &amp; Forestry, Dept Chem, Syracuse, NY 13210 USA.</t>
  </si>
  <si>
    <t>dtoole@whoi.edu</t>
  </si>
  <si>
    <t>del Valle, Daniela/0009-0005-4137-9285</t>
  </si>
  <si>
    <t>JUN 9</t>
  </si>
  <si>
    <t>L11307</t>
  </si>
  <si>
    <t>10.1029/2004GL019863</t>
  </si>
  <si>
    <t>829XJ</t>
  </si>
  <si>
    <t>WOS:000222084600003</t>
  </si>
  <si>
    <t>Díaz-Marrero, AR; Brito, I; Cueto, M; San-Martín, A; Darias, J</t>
  </si>
  <si>
    <t>Suberitane network, a taxonomical marker for Antarctic sponges of the genus Suberites?: Novel sesterterpenes from Suberites caminatus</t>
  </si>
  <si>
    <t>TETRAHEDRON LETTERS</t>
  </si>
  <si>
    <t>Two novel sesterterpenes 1 and 2 have been isolated from the Antarctic sponge Suberites caminatus. Their structures and relative stereochemistries were determined by spectroscopic methods. Compound 1 features a novel structural type of suberitane network, and an epimer of compound 2 seems to be the biogenetic precursor of 1 and suberitenones A and B. The exclusive prevalence of suberitane-derived sesterterpene metabolites in species of Suberites suggests that this skeleton may be a chemical marker of the genus. (C) 2004 Elsevier Ltd. All rights reserved.</t>
  </si>
  <si>
    <t>CSIC, Inst Prod Nat &amp; Agrobiol, Tenerife 38206, Spain; Univ Chile, Fac Ciencias, Dept Quim, Santiago 3425, Chile</t>
  </si>
  <si>
    <t>Consejo Superior de Investigaciones Cientificas (CSIC); CSIC - Instituto de Productos Naturales y Agrobiologia (IPNA); Universidad de Chile</t>
  </si>
  <si>
    <t>CSIC, Inst Prod Nat &amp; Agrobiol, Avda Astrofis F Sanchez 3,Apdo 195, Tenerife 38206, Spain.</t>
  </si>
  <si>
    <t>jdarias@ipna.csic.es</t>
  </si>
  <si>
    <t>Darias, Jose/HMV-0531-2023; Marrero, Ana R. Díaz/L-2899-2014; Cueto, Mercedes/L-3185-2014</t>
  </si>
  <si>
    <t>Marrero, Ana R. Díaz/0000-0002-8886-7519; Cueto, Mercedes/0000-0002-9112-6877</t>
  </si>
  <si>
    <t>0040-4039</t>
  </si>
  <si>
    <t>TETRAHEDRON LETT</t>
  </si>
  <si>
    <t>Tetrahedron Lett.</t>
  </si>
  <si>
    <t>JUN 7</t>
  </si>
  <si>
    <t>10.1016/S0040-4039(04)00882-2</t>
  </si>
  <si>
    <t>Chemistry, Organic</t>
  </si>
  <si>
    <t>826AL</t>
  </si>
  <si>
    <t>WOS:000221801100026</t>
  </si>
  <si>
    <t>Heeschen, KU; Keir, RS; Rehder, G; Klatt, O; Suess, E</t>
  </si>
  <si>
    <t>Methane dynamics in the Weddell Sea determined via stable isotope ratios and CFC-11</t>
  </si>
  <si>
    <t>chlorofluorocarbon; methane; Weddell Sea</t>
  </si>
  <si>
    <t>ANTARCTIC BOTTOM WATER; DEEP-WATER; ATMOSPHERIC METHANE; SOUTHERN-OCEAN; SCOTIA SEA; THERMOHALINE STRATIFICATION; HYDROTHERMAL PLUME; BRANSFIELD STRAIT; DISSOLVED METHANE; DRAKE PASSAGE</t>
  </si>
  <si>
    <t>The physical, chemical/biological processes that control the methane dynamics in the Weddell Sea are revealed by the distributions of methane (CH4), its stable carbon isotope ratio, delta(13)C-CH4, and the conservative transient tracer, chlorofluorocarbon-11 (CFC-11, CCl3F). In general, a nearly linear correlation between CH4 and CFC-11 concentrations was observed. Air-sea exchange is the major source of methane to this region, and the distribution of methane is controlled mainly by mixing between surface water and methane-poor Warm Deep Water. A significant influence of methane oxidation over the predominant two end-member mixing was only found in the Weddell Sea Bottom Water (WSBW) of the deep central Weddell Basin, where the turnover time of methane appears to be about 20 years. Mixing also controls most of the delta(13)C-CH4 distribution, but lighter than expected carbon isotopic ratios occur in the deep WSBW of the basin. From box model simulations, it appears that this anomaly'' is due to methane oxidation with a low kinetic isotope fractionation of about 1.004. The surface waters in the Weddell Sea and the Antarctic Circumpolar Current showed a general methane undersaturation of 6 to 25% with respect to the atmospheric mixing ratio. From this undersaturation and model-derived air-sea exchange rates, we estimate a net uptake of CH4 of roughly -0.5 mumol m(-2) d(-1) during austral autumn.</t>
  </si>
  <si>
    <t>GEOMAR Res Ctr Marine Geol, IFM, Leibniz Inst Meereswissensch, D-24148 Kiel, Germany; Inst Environm Phys, Bremen, Germany</t>
  </si>
  <si>
    <t>Helmholtz Association; GEOMAR Helmholtz Center for Ocean Research Kiel; University of Bremen</t>
  </si>
  <si>
    <t>Heeschen, KU (corresponding author), Univ Bremen, Res Ctr Ocean Margins, POB 330 440, D-28334 Bremen, Germany.</t>
  </si>
  <si>
    <t>heeschen@uni-bremen.de; rkeir@ifm-geomar.de; grehder@ifm-geomar.de; oklatt@awi-bremerhaven.de; esuess@ifm-geomar.de</t>
  </si>
  <si>
    <t>JUN 5</t>
  </si>
  <si>
    <t>GB2012</t>
  </si>
  <si>
    <t>10.1029/2003GB002151</t>
  </si>
  <si>
    <t>828DK</t>
  </si>
  <si>
    <t>WOS:000221953100001</t>
  </si>
  <si>
    <t>Pottier, C; Céron, JP; Sudre, J; Dadou, I; Belamari, S; Garçon, V</t>
  </si>
  <si>
    <t>Dominant propagating signals in sea level anomalies in the Southern Ocean -: art. no. L11305</t>
  </si>
  <si>
    <t>ANTARCTIC CIRCUMPOLAR WAVE; ANNULAR MODE; OSCILLATION; CIRCULATION; VARIABILITY; HEMISPHERE; TELECONNECTIONS; VACILLATION; COHERENCE; WIND</t>
  </si>
  <si>
    <t>We examine the time evolution over an 11 yr time series of the dominant modes of variability in sea level anomalies (SLA) from TOPEX/Poseidon and ERS-1/2 in the Southern Ocean (35-60degreesS). We use Hayashi's classical space-time spectral analysis and a newly developed method combining a Gabor analysis with Hayashi's method. Zonal wavenumbers 3 and 2 emerge unambiguously with null corresponding meridional wavenumber meaning that both associated modes have no meridional propagation. Their power spectrum density (PSD) is maximum within 50-55degreesS. The 3/0 mode displays a clear westward propagation associated with a 1.04 yr period. The 2/0 pair is characterized by a similar to4.4 yr period and exhibits a clear eastward propagation with a maximal PSD just after the 1998 El Nino peak. Zonal wavenumber-2 mode is then probably part of the Antarctic Circumpolar Wave.</t>
  </si>
  <si>
    <t>CNRS, LEGOS, F-31401 Toulouse 9, France; CLS, Ramonville St Agne, France; Meteo France, F-31057 Toulouse, France</t>
  </si>
  <si>
    <t>CNRS, LEGOS, 18 Ave Edouard Belin, F-31401 Toulouse 9, France.</t>
  </si>
  <si>
    <t>veronique.garcon@cnes.fr</t>
  </si>
  <si>
    <t>Sudre, Joël/G-9220-2018</t>
  </si>
  <si>
    <t>Sudre, Joël/0000-0001-8876-5179</t>
  </si>
  <si>
    <t>JUN 4</t>
  </si>
  <si>
    <t>L11305</t>
  </si>
  <si>
    <t>10.1029/2004GL019565</t>
  </si>
  <si>
    <t>828DG</t>
  </si>
  <si>
    <t>WOS:000221952600003</t>
  </si>
  <si>
    <t>King, JC; Anderson, PS; Vaughan, DG; Mann, GW; Mobbs, SD; Vosper, SB</t>
  </si>
  <si>
    <t>Wind-borne redistribution of snow across an Antarctic ice rise</t>
  </si>
  <si>
    <t>blowing snow; snow accumulation; orographic effects</t>
  </si>
  <si>
    <t>BLOWING SNOW; COMPLEX TERRAIN; HALLEY; MODEL; SUBLIMATION; PROFILES; RADAR; FLOW</t>
  </si>
  <si>
    <t>[ 1] Redistribution of snow by the wind can drive spatial and temporal variations in snow accumulation that may affect the reconstruction of paleoclimate records from ice cores. In this paper we investigate how spatial variations in snow accumulation along a 13 km transect across Lyddan Ice Rise, Antarctica, are related to wind-borne snow redistribution. Lyddan Ice Rise is an approximately two-dimensional ridge which rises about 130 m above the surrounding ice shelves. Local slopes on its flanks never exceed 0.04. Despite this very smooth profile, there is a pronounced gradient in snow accumulation across the feature. Accumulation is highest on the ice shelf to the east ( climatologically upwind) of the ice rise and decreases moving westward, with the lowest accumulation seen to the west ( climatologically downwind) of the ice rise crest. Superimposed on this broad-scale gradient are large ( 20-30%), localized variations in accumulation on a scale of around 1 km that appear to be associated with local variations in surface slope of less than 0.01. The broad-scale accumulation gradient is consistent with estimates of wind-borne redistribution of snow made using wind speed observations from three automatic weather stations. The small-scale variability in accumulation is reproduced quite well using a snow transport model driven by surface winds obtained from an airflow model, providing that both the wind shear and static stability of the upwind flow are taken into account. We conclude that great care needs to be exercised in selecting ice core sites in order to avoid the possibility of blowing snow transport confounding climate reconstructions.</t>
  </si>
  <si>
    <t>British Antarctic Survey, NERC, Cambridge CB3 0ET, England; Univ Leeds, Sch Environm, Leeds LS2 9JT, W Yorkshire, England; Met Off, Exeter EX1 3PB, Devon, England</t>
  </si>
  <si>
    <t>UK Research &amp; Innovation (UKRI); Natural Environment Research Council (NERC); NERC British Antarctic Survey; University of Leeds; Met Office - UK</t>
  </si>
  <si>
    <t>jcki@bas.ac.uk</t>
  </si>
  <si>
    <t>Vaughan, David/C-8348-2011; Mann, Graham/L-9529-2017</t>
  </si>
  <si>
    <t>Vaughan, David/0000-0002-9065-0570; Mann, Graham/0000-0003-1746-2837</t>
  </si>
  <si>
    <t>D11104</t>
  </si>
  <si>
    <t>10.1029/2003JD004361</t>
  </si>
  <si>
    <t>828DO</t>
  </si>
  <si>
    <t>WOS:000221953500002</t>
  </si>
  <si>
    <t>Hughes, CW; Stepanov, VN</t>
  </si>
  <si>
    <t>Ocean dynamics associated with rapid J2 fluctuations:: Importance of circumpolar modes and identification of a coherent Arctic mode -: art. no. C06002</t>
  </si>
  <si>
    <t>J(2); Arctic Ocean; satellite gravity</t>
  </si>
  <si>
    <t>SEA-LEVEL VARIABILITY; DRAKE PASSAGE; CIRCULATION; TOPEX/POSEIDON; REDISTRIBUTION; OSCILLATION; RESONANCE; PACIFIC; REGIMES; MASS</t>
  </si>
  <si>
    <t>Fluctuations of the Earth's dynamic oblateness J(2) are a measure of global redistributions of mass between equatorial and polar regions, sensitive to the component which is symmetric about the equator. Cox and Chao recently published a time series of monthly values of J(2) based on satellite orbit determination, which showed rapid fluctuations from month to month, as well as a large change in J(2) in 1997/1998. We here investigate the ocean dynamics associated with these rapid fluctuations using a barotropic ocean model forced by atmospheric wind stress and pressure. We find that the model has significant skill in reproducing the observations, though not the change in 1997/1998. Much of the model variability is related to coherent circumpolar fluctuations in Arctic and Antarctic bottom pressure which, despite their apparent symmetry, are forced by quite different mechanisms. The Antarctic mode is forced by circumpolar winds, whereas the Arctic mode is forced by northward winds over the entrances to the polar sea. Comparison with in situ observations shows that the model has skill in reproducing the polar modes. Arctic tide gauge records confirm the presence of a coherent mode at short periods, and at long periods over at least the Eurasian Arctic shelf. If barotropic, and representative of the whole Arctic, this would be large enough to make a major contribution to measured J(2) fluctuations, but does not account for the 1997/1998 event.</t>
  </si>
  <si>
    <t>Proudman Oceanog Lab, Liverpool L3 5DA, Merseyside, England; PP Shirshov Oceanol Inst, Moscow, Russia</t>
  </si>
  <si>
    <t>NERC National Oceanography Centre; Russian Academy of Sciences; Shirshov Institute of Oceanology</t>
  </si>
  <si>
    <t>Hughes, CW (corresponding author), Proudman Oceanog Lab, Joseph Proudman Bldg,6 Brownlow St, Liverpool L3 5DA, Merseyside, England.</t>
  </si>
  <si>
    <t>cwh@pol.ac.uk; vst@pol.ac.uk</t>
  </si>
  <si>
    <t>Hughes, Chris W/A-3791-2010; Hughes, Chris/GQP-7479-2022; Stepanov, Vladimir/P-8371-2019</t>
  </si>
  <si>
    <t>Hughes, Chris W/0000-0002-9355-0233; Stepanov, Vladimir/0000-0002-0560-9312</t>
  </si>
  <si>
    <t>JUN 2</t>
  </si>
  <si>
    <t>C06002</t>
  </si>
  <si>
    <t>10.1029/2003JC002176</t>
  </si>
  <si>
    <t>828DY</t>
  </si>
  <si>
    <t>WOS:000221954600002</t>
  </si>
  <si>
    <t>Toyota, T; Kawamura, T; Ohshima, KI; Shimoda, H; Wakatsuchi, M</t>
  </si>
  <si>
    <t>Thickness distribution, texture and stratigraphy, and a simple probabilistic model for dynamical thickening of sea ice in the southern Sea of Okhotsk</t>
  </si>
  <si>
    <t>sea ice; Okhotsk Sea; ice growth process</t>
  </si>
  <si>
    <t>SURFACE HEAT-BUDGET; AMUNDSEN SEAS; SNOW COVER; BELLINGSHAUSEN; WINTER; SONAR; ROSS</t>
  </si>
  <si>
    <t>Sea ice thickness data and sea ice samples were analyzed to examine the characteristics of the ice thickness distribution and ice texture, and to understand ice growth processes in the southern Sea of Okhotsk. Ice thickness data and samples were obtained aboard the icebreaker Soya in early February, the ice growth season. Ice thickness data, which were obtained with a video monitoring system installed on the side deck of the ship each winter from 1991 to 2000 except 1995, show that the average thickness ranges from 19 +/- 7 to 55 +/- 23 cm and that it matches the characteristics of a Poisson distribution. Ice structure analysis reveals that granular texture occupies about three quarters of the total ice thickness and that the ice exhibits a layered structure with unit thickness averaging 5 to 10 cm. Stratigraphy and stable isotopic composition of the ice indicate that snow ice accounts for 10% and frazil ice accounts for 64% of the total ice thickness. This suggests that dynamic ice thickening processes such as frazil ice growth and piling up are more significant than congelation growth. On the basis of these characteristics, which resemble more those of Antarctic than Arctic sea ice, we propose a conceptual model for the ice thickening process in this region. It is shown that this model can explain the shape of the ice thickness distribution well, and is analogous with the concept of the pancake cycle'' and multiple rafting of Antarctic sea ice growth and thickening.</t>
  </si>
  <si>
    <t>Hokkaido Univ, Inst Low Temp Sci, Kita Ku, Sapporo, Hokkaido 060, Japan; Natl Maritime Res Inst, Ocean &amp; Ice Engn Dept, Mitaka, Tokyo 181004, Japan</t>
  </si>
  <si>
    <t>Hokkaido University; National Maritime Research Institute</t>
  </si>
  <si>
    <t>Hokkaido Univ, Inst Low Temp Sci, Kita Ku, North 19 West 8, Sapporo, Hokkaido 060, Japan.</t>
  </si>
  <si>
    <t>toyota@lowtem.hokudai.ac.jp; kawat@lowtem.hokudai.ac.jp; ohshima@lowtem.hokudai.ac.jp; shimoda@nmri.go.jp; masaakiw@lowtem.hokudai.ac.jp</t>
  </si>
  <si>
    <t>Toyota, Takenobu/D-9101-2012; Ohshima, Kay I/D-6909-2012</t>
  </si>
  <si>
    <t>C06001</t>
  </si>
  <si>
    <t>10.1029/2003JC002090</t>
  </si>
  <si>
    <t>WOS:000221954600001</t>
  </si>
  <si>
    <t>Enderlein, P</t>
  </si>
  <si>
    <t>Effect of substrate composition on burrowing depth and respiratory current in two spatangoids (Echinoidea)</t>
  </si>
  <si>
    <t>spatangoids; substrate composition; respiratory funnels; respiratory water current; burrowing depth</t>
  </si>
  <si>
    <t>ECHINOCARDIUM-CORDATUM ECHINODERMATA; BIOLOGY</t>
  </si>
  <si>
    <t>To investigate the influence of substrate composition on burrowing depth and respiratory funnel diameter. two species of irregular sea urchins (Spatangoida) were allowed to burrow in different substrates in laboratory experiments. The maximum burrowing depth and respiratory funnel diameters were measured. Both are dependent on substrate composition. In muddy sand the burrowing depth of Echinocardium flavescens (O. F. Muller 1776) increased as the proportion of mud in the sediment increased. The diameters of respiratory funnels were significantly smaller where the proportion of mud exceeded 50%. An exhalation current was visualized using a rhodamin solution. In Echinocardium flavescens and Brissopsis lyrifera, the exhalation current reaches the sediment surface posterior to the echinoid through a number (three to six) of small tubes.</t>
  </si>
  <si>
    <t>Univ Kiel, Inst Zool, D-24098 Kiel, Germany</t>
  </si>
  <si>
    <t>pend@bas.ac.uk</t>
  </si>
  <si>
    <t>10.1080/00364820410006367</t>
  </si>
  <si>
    <t>830FQ</t>
  </si>
  <si>
    <t>WOS:000222107500005</t>
  </si>
  <si>
    <t>Olbrechts, P; Ackermann, M; Ahrens, J; Albrecht, H; Bai, X; Bay, R; Bartelt, M; Barwick, SW; Becka, T; Becker, KH; Becker, JK; Bernardini, E; Bertrand, D; Boersma, DJ; Boser, S; Botner, O; Bouchta, A; Bouhali, O; Braun, J; Burgess, C; Burgess, T; Castermans, T; Chirkin, D; Collin, B; Conrad, J; Cooley, J; Cowen, DF; Davour, A; De Clercq, C; DeYoung, T; Desiati, P; Ekström, P; Feser, T; Gaisser, TK; Ganugapati, R; Geenen, H; Gerhardt, L; Goldschmidt, A; Gross, A; Hallgren, A; Halzen, F; Hanson, K; Hardtke, R; Harenberg, T; Hauschildt, T; Helbing, K; Hellwig, M; Herquet, P; Hill, GC; Hodges, J; Hubert, D; Hughey, B; Hulth, PO; Hultqvist, K; Hundertmark, S; Jacobsen, J; Kampert, KH; Karle, A; Kelley, J; Kestel, M; Köpke, L; Kowalski, M; Krasberg, M; Kuehn, K; Leich, H; Leuthold, M; Liubarsky, I; Madsen, J; Mandli, K; Marciniewski, P; Matis, HS; McParland, CP; Messarius, T; Minaeva, Y; Miocinovic, P; Morse, R; Münich, K; Nahnhauer, R; Nam, JW; Neunhöffer, T; Niessen, P; Nygren, DR; Ögelman, H; Olbrechts, P; De Los Heros, CP; Pohl, AC; Porrata, R; Price, PB; Przybylski, GT; Rawlins, K; Resconi, E; Rhode, W; Ribordy, M; Richter, S; Martino, JR; Sander, HG; Schinarakis, K; Schlenstedt, S; Schneider, D; Schwarz, R; Silvestri, A; Solarz, M; Spiczak, GM; Spiering, C; Stamatikos, M; Steele, D; Steffen, P; Stokstad, RG; Sulanke, KH; Taboada, I; Wang, YR; Wiebusch, CH; Wischnewski, R; Wissing, H; Woschnagg, K; Yodh, G</t>
  </si>
  <si>
    <t>Results from the Amanda detector</t>
  </si>
  <si>
    <t>ACTA PHYSICA POLONICA B</t>
  </si>
  <si>
    <t>10th Cracow Epiphany Conference on Astroparticle Physics</t>
  </si>
  <si>
    <t>JAN 08-11, 2004</t>
  </si>
  <si>
    <t>Polish Acad Arts &amp; Sci, Cracow, POLAND</t>
  </si>
  <si>
    <t>Polish Acad Arts &amp; Sci</t>
  </si>
  <si>
    <t>HIGH-ENERGY NEUTRINOS; SEARCH</t>
  </si>
  <si>
    <t>The Antarctic Muon And Neutrino Detector Array (AMANDA) is a high-energy neutrino telescope based at the geographic South Pole. It is a lattice of photo-multiplier tubes buried deep in the polar ice, which is used as interaction and detection medium. The primary goal of this detector is the observation of astronomical sources of high-energy neutrinos. This paper shows the latest results of the search for a diffuse flux of extraterrestrial v(mu)s with energies between 10(11) eV and 10(18) eV, v(mu)s emitted from point sources and v(mu)s from dark matter annihilation in the Earth and the Sun.</t>
  </si>
  <si>
    <t>DESY, D-15735 Zeuthen, Germany; Univ Delaware, Bartol Res Inst, Newark, DE 19716 USA; Berg Univ Gesamthsch Wuppertal, Dept Phys, D-42097 Wuppertal, Germany; Free Univ Brussels, Fac Sci, B-1050 Brussels, Belgium; Univ London Imperial Coll Sci Technol &amp; Med, Blackett Lab, London SW7 2BW, England; Kalmar Univ, Dept Technol, S-39182 Kalmar, Sweden; Lawrence Berkeley Natl Lab, Berkeley, CA 94720 USA; Penn State Univ, Dept Phys, University Pk, PA 16802 USA; Univ Calif Berkeley, Dept Phys, Berkeley, CA 94720 USA; Univ Calif Irvine, Dept Phys &amp; Astron, Irvine, CA 92697 USA; Univ Mainz, Inst Phys, D-55099 Mainz, Germany; Univ Maryland, Dept Phys, College Pk, MD 20742 USA; Univ Mons, B-7000 Mons, Belgium; Univ Simon Bolivar, Dept Fis, Caracas 1080, Venezuela; Univ Wisconsin, Dept Phys, Madison, WI 53706 USA; Univ Wisconsin, Dept Phys, River Falls, WI 54022 USA; Univ Uppsala, Div High Energy Phys, S-75121 Uppsala, Sweden; Stockholm Univ, Dept Phys, SE-10691 Stockholm, Sweden; Free Univ Brussels, Dienst ELEM, B-1050 Brussels, Belgium</t>
  </si>
  <si>
    <t>Helmholtz Association; Deutsches Elektronen-Synchrotron (DESY); University of Delaware; University of Wuppertal; Universite Libre de Bruxelles; Imperial College London; Linnaeus University; University of Kalmar; United States Department of Energy (DOE); Lawrence Berkeley National Laboratory; Pennsylvania Commonwealth System of Higher Education (PCSHE); Pennsylvania State University; Pennsylvania State University - University Park; University of California System; University of California Berkeley; University of California System; University of California Irvine; Johannes Gutenberg University of Mainz; University System of Maryland; University of Maryland College Park; University of Mons; Simon Bolivar University; University of Wisconsin System; University of Wisconsin Madison; University of Wisconsin System; Uppsala University; Stockholm University; Universite Libre de Bruxelles</t>
  </si>
  <si>
    <t>Olbrechts, P (corresponding author), DESY, D-15735 Zeuthen, Germany.</t>
  </si>
  <si>
    <t>Wiebusch, Christopher H.V./G-6490-2012; Hundertmark, Stephan/A-6592-2010; Botner, Olga/A-9110-2013; Hubert, Daan/I-1096-2019; Kowalski, Marek P/G-5546-2012; DeYoung, Tyce/O-6895-2019; Resconi, Elisa/I-3874-2016; Matis, Howard/AAO-2082-2021; Bouhali, Othmane/JXM-3572-2024; Matis, Howard S/HMV-9747-2023; Schinarakis, Konstantinos/GPK-5766-2022; Hallgren, Allan/A-8963-2013; Mandli, Kyle/U-3899-2019; Bernardini, Elisa/AAA-4810-2020; Diaz Velez, Juan Carlos/T-2788-2018</t>
  </si>
  <si>
    <t>Wiebusch, Christopher H.V./0000-0002-6418-3008; Hubert, Daan/0000-0002-4365-865X; DeYoung, Tyce/0000-0003-4873-3783; Resconi, Elisa/0000-0003-0705-2770; Bouhali, Othmane/0000-0001-7139-7322; Matis, Howard S/0000-0003-0764-4389; Schinarakis, Konstantinos/0000-0003-4248-2290; Mandli, Kyle/0000-0002-8267-5989; Bernardini, Elisa/0000-0003-3108-1141; Ackermann, Markus/0000-0001-8952-588X; Bartelt, Matthias/0000-0003-4239-3490; Helbing, Klaus/0000-0003-2072-4172; Kampert, Karl-Heinz/0000-0002-2805-0195; Burgess, Thomas/0000-0002-6993-5918; Desiati, Paolo/0000-0001-9768-1858; Rhode, Wolfgang/0000-0003-2636-5000; Diaz Velez, Juan Carlos/0000-0002-0087-0693; Hill, Gary/0000-0001-8881-6802; De Clercq, Catherine/0000-0001-5266-7059; Perez de los Heros, Carlos/0000-0002-2084-5866; Cooley, Jodi/0000-0001-6761-2042</t>
  </si>
  <si>
    <t>ACTA PHYSICA POLONICA B, JAGELLONIAN UNIV, INST PHYSICS</t>
  </si>
  <si>
    <t>KRAKOW</t>
  </si>
  <si>
    <t>REYMONTA 4, 30-059 KRAKOW, POLAND</t>
  </si>
  <si>
    <t>0587-4254</t>
  </si>
  <si>
    <t>ACTA PHYS POL B</t>
  </si>
  <si>
    <t>Acta Phys. Pol. B</t>
  </si>
  <si>
    <t>JUN-JUL</t>
  </si>
  <si>
    <t>6-7</t>
  </si>
  <si>
    <t>835QX</t>
  </si>
  <si>
    <t>WOS:000222501700013</t>
  </si>
  <si>
    <t>Chown, SL</t>
  </si>
  <si>
    <t>A missing ingredient - more active participation by younger scientists</t>
  </si>
  <si>
    <t>Univ Stellenbosch, ZA-7600 Stellenbosch, South Africa</t>
  </si>
  <si>
    <t>Chown, SL (corresponding author), Univ Stellenbosch, ZA-7600 Stellenbosch, South Africa.</t>
  </si>
  <si>
    <t>JUN</t>
  </si>
  <si>
    <t>10.1017/S0954102004001853</t>
  </si>
  <si>
    <t>832PZ</t>
  </si>
  <si>
    <t>WOS:000222280700001</t>
  </si>
  <si>
    <t>Van der Molen, S; Matallanas, J</t>
  </si>
  <si>
    <t>Reproductive biology of female Antarctic spiny plunderfish Harpagifer spinosus (Notothenioidei: Harpagiferidae), from Iles Crozet</t>
  </si>
  <si>
    <t>fish; gonad cycle; oogenesis; Southern Ocean</t>
  </si>
  <si>
    <t>FISHES; BEHAVIOR; BISPINIS; OOCYTES</t>
  </si>
  <si>
    <t>On the basis of histological examination, we present the first description of oogenesis in H. spinosus. Eight stages of oocyte development were identified using morphological and histochemical criteria. The development of the oocytes is synchronous, and two clutches grow simultaneously in the ovary. Spawning takes place during the end of summer and the beginning of autumn. Absolute fecundity is low, ranging from 787 to 1504 oocytes. The low fecundity is probably related to parental behaviour. Our data indicate that the features of the reproductive biology of H. spinosus, in spite of its unusual environment, are similar to those observed in other teleost fish.</t>
  </si>
  <si>
    <t>Univ Autonoma Barcelona, Fac Ciencias, Unitat Zool, E-08193 Barcelona, Spain</t>
  </si>
  <si>
    <t>Autonomous University of Barcelona; University of Barcelona</t>
  </si>
  <si>
    <t>Van der Molen, S (corresponding author), Univ Autonoma Barcelona, Fac Ciencias, Unitat Zool, E-08193 Barcelona, Spain.</t>
  </si>
  <si>
    <t>silvina.vandermolen@uab.es</t>
  </si>
  <si>
    <t>10.1017/S0954102004001865</t>
  </si>
  <si>
    <t>WOS:000222280700002</t>
  </si>
  <si>
    <t>Borghini, F; Bargagli, R</t>
  </si>
  <si>
    <t>Changes of major ion concentrations in melting snow and terrestrial waters from northern Victoria Land, Antarctica</t>
  </si>
  <si>
    <t>continental Antarctica; sources; spatio-temporal variations; water systems</t>
  </si>
  <si>
    <t>MCMURDO ICE SHELF; SEA-SALT AEROSOL; CLIMATE-CHANGE; CHEMICAL-COMPOSITION; GEOCHEMISTRY; CHEMISTRY; STREAMS; ISLAND; EVOLUTION; AMMONIUM</t>
  </si>
  <si>
    <t>Concentrations of major ions (Cl-, NO3-, SO42-, Na+, K+, Mg2+, Ca2+) were measured in melting snow and water samples from streams and lakes in ice-free areas throughout northern Victoria Land. Most ions in snow and terrestrial water derive from the marine environment and their concentrations are extremely variable in space and time, especially in water systems without melting snow and ice. The distance from the sea, snow sublimation, changes in water inflow, evaporative concentrations, weathering and drainage processes in the catchment, nesting seabirds and aquatic microbiota. are among factors which most influence ion composition variability. Comparisons with data from twelve years ago in the same lakes indicate that the warming trend detected at Terra Nova Bay station during this period did not affect the biogeochemistry of water systems. Waters from a lake which recently experienced a lowering of the water level showed a remarkable increase in SO42- concentrations. We hypothesized that the differential mobility of sulphate salts in the Antarctic soils, the biosynthesis of sulphur compounds in the lake, and the progressive decrease of the water volume are factors involved in the increase of SO42- concentrations.</t>
  </si>
  <si>
    <t>Univ Siena, Dipartimento Sci Ambientali, I-53100 Siena, Italy</t>
  </si>
  <si>
    <t>University of Siena</t>
  </si>
  <si>
    <t>Univ Siena, Dipartimento Sci Ambientali, Via PA Mattioli 4, I-53100 Siena, Italy.</t>
  </si>
  <si>
    <t>borghini@unisi.it</t>
  </si>
  <si>
    <t>10.1017/S095410200400197X</t>
  </si>
  <si>
    <t>WOS:000222280700003</t>
  </si>
  <si>
    <t>Martins, CC; Bícego, MC; Taniguchi, S; Montone, RC</t>
  </si>
  <si>
    <t>Aliphatic and polycyclic aromatic hydrocarbons in surface sediments in Admiralty Bay, King George Island, Antarctica</t>
  </si>
  <si>
    <t>AH; oil; PAH; pollution; south Shetland islands</t>
  </si>
  <si>
    <t>ARTHUR HARBOR; ANTHROPOGENIC HYDROCARBONS; MARINE-ENVIRONMENT; DAVIS-STATION; FUEL SPILL; CONTAMINATION; SEAWATER; FATE; PENINSULA; STEROLS</t>
  </si>
  <si>
    <t>Aliphatic (AHs) and polycyclic aromatic hydrocarbons (PAHs) concentrations were measured in marine surface sediments around the Brazilian station in Admiralty Bay, during the summers of 1997/98 and 1999/2000 using GC-FID and GC-MS. Total aliphatic hydrocarbons ranged from 0.15 to 13.28 mug.g(-1) (dry weight) while n-alkanes varied between 0.10 and 9.63 mug.g(-1). The highest concentrations were obtained at the sewage outfall, with decreasing levels away from the outfall. The distribution of n-alkanes showed significant quantities of long chain n-alkanes (n-C-22 to n-C-34) at sites near the Brazilian station that may be attributed to the station activities. A short chain n-alkanes sequence (n-C-12 to n-C-21) associated with diesel fuel arctic (DFA) was present in all the samples. Total PAHs varied from 9.45 to 270.5 ng.g(-1). The higher PAHs level and the presence of an unresolved complex mixture only in sediment from the sewage outfall is an indication of oil contamination at this location. A slight increase in PAHs near the Brazilian station since 1993 may be attributed to an increase in the number of staff over recent years. In general, the concentration of AHs and PAHs was similar to that found in other Antarctic areas.</t>
  </si>
  <si>
    <t>Univ Sao Paulo, Inst Oceanog, Lab Quim Organ Marinha, BR-05508900 Sao Paulo, Brazil</t>
  </si>
  <si>
    <t>Universidade de Sao Paulo</t>
  </si>
  <si>
    <t>Univ Sao Paulo, Inst Oceanog, Lab Quim Organ Marinha, BR-05508900 Sao Paulo, Brazil.</t>
  </si>
  <si>
    <t>ccmart@usp.br</t>
  </si>
  <si>
    <t>Montone, Rosalinda C/J-9110-2012; de Castro Martins, Cesar C/I-1086-2012; Bicego, Marcia C/D-1996-2013; Taniguchi, Satie/D-2552-2013</t>
  </si>
  <si>
    <t>de Castro Martins, Cesar/0000-0002-2515-5565; Bicego, Marcia/0000-0002-9939-9853; Taniguchi, Satie/0000-0002-6825-6390</t>
  </si>
  <si>
    <t>10.1017/S0954102004001932</t>
  </si>
  <si>
    <t>WOS:000222280700004</t>
  </si>
  <si>
    <t>Tatían, M; Sahade, R; Esnal, GB</t>
  </si>
  <si>
    <t>Diet components in the food of Antarctic ascidians living at low levels of primary production</t>
  </si>
  <si>
    <t>benthos; seston; southern ocean; south Shetland islands; stomach contents</t>
  </si>
  <si>
    <t>KING-GEORGE-ISLAND; POTTER COVE; GUT CONTENTS; DETRITUS; BAY; PHYTOPLANKTON; AVAILABILITY; ABSORPTION; FILTRATION; CARBON</t>
  </si>
  <si>
    <t>Coupling between pelagic and benthic systems has been described in numerous shallow water communities. In Potter Cove, where pelagic primary production is low (not only during the Antarctic winter but also during the summer), the rich benthic community present there must depend on other food sources than phytoplankton. Over a year-round period we determined the abundance of the different seston particles which constituted the stomach contents of the Antarctic ascidian Cnemidocarpa verrucosa (Lesson, 1830) at Potter Cove. Stomach repletion was highest in November and lowest in June. Ascidians took in a wide range of particles from large detritus (macroalgal debris and faecal pellets) to minute particles &lt; 5 mum. Large detritus and minute particles together represent the main percentage of contents throughout the year (mean 91%). Diatoms were a low percentage (mean 4.5%). Unidentified flagellates, dinoflagellates and coccolithophorids were scarce, with mean values lower than 4%. Among diatoms benthic species were more abundant in summer and pelagic ones prevailed from March to November. Resuspension of benthic material due to wind mixing and the input of allochthonous particles by currents are important mechanisms that ensure food for ascidians and the community of suspension feeders in Potter Cove.</t>
  </si>
  <si>
    <t>Univ Nacl Cordoba, Fac Ciencias Exactas Fis &amp; Nat, RA-5000 Cordoba, Argentina; Univ Buenos Aires, Fac Ciencias Exactas &amp; Nat, Dept Ciencias Biol, RA-1428 Buenos Aires, DF, Argentina</t>
  </si>
  <si>
    <t>National University of Cordoba; University of Buenos Aires</t>
  </si>
  <si>
    <t>Univ Nacl Cordoba, Fac Ciencias Exactas Fis &amp; Nat, Av Velez Sarsfield 299, RA-5000 Cordoba, Argentina.</t>
  </si>
  <si>
    <t>mtatian@com.uncor.edu</t>
  </si>
  <si>
    <t>Tatian, Marcos/0000-0002-9092-9184; Sahade, Ricardo/0000-0001-5650-8135</t>
  </si>
  <si>
    <t>10.1017/S0954102004001890</t>
  </si>
  <si>
    <t>WOS:000222280700005</t>
  </si>
  <si>
    <t>Tavares, M; De Melo, GAS</t>
  </si>
  <si>
    <t>Discovery of the first known benthic invasive species in the Southern Ocean:: the North Atlantic spider crab Hyas araneus found in the Antarctic Peninsula</t>
  </si>
  <si>
    <t>Antarctica; alien species; ballast water; Crustacea decapoda; polar warming</t>
  </si>
  <si>
    <t>BIOLOGICAL INVASIONS; INTRODUCTIONS; CONSEQUENCES; CRUSTACEA; WATERS</t>
  </si>
  <si>
    <t>The Southern Ocean around Antarctica is no longer free from invasive marine species. The North Atlantic spider crab Hyas araneus (Linnaeus, 1758) (Crustacea: Decapoda: Majidae) has been recorded for the first time from the Antarctic Peninsula. Isolated for at least 25 million years, the endemic Antarctic Southern Ocean marine fauna is now being exposed to human-mediated influx of exotic species. Invasive species and polar warming combined can foster the probability of arrival and colonization by nonindigenous species, with unpredictable consequences for the Antarctic marine biota.</t>
  </si>
  <si>
    <t>Univ Sao Paulo, Museum Zool, BR-04263000 Sao Paulo, Brazil</t>
  </si>
  <si>
    <t>Univ Sao Paulo, Museum Zool, Av Nazareth 481, BR-04263000 Sao Paulo, Brazil.</t>
  </si>
  <si>
    <t>mdst@usp.br</t>
  </si>
  <si>
    <t>Tavares, Marcos/F-7151-2012</t>
  </si>
  <si>
    <t>Tavares, Marcos/0000-0002-7186-5787</t>
  </si>
  <si>
    <t>10.1017/S0954102004001877</t>
  </si>
  <si>
    <t>WOS:000222280700006</t>
  </si>
  <si>
    <t>Cianelli, D; D'Alcalà, MR; Saggiomo, V; Zambianchi, E</t>
  </si>
  <si>
    <t>Coupling mixing and photophysiological response of Antarctic plankton:: a Lagrangian approach</t>
  </si>
  <si>
    <t>individual-based modelling; mixed layer depth; photoacclimation; photoinhibition; phytoplankton</t>
  </si>
  <si>
    <t>RANDOM-WALK MODELS; PHYTOPLANKTON GROWTH; PHOTOSYNTHESIS; LIGHT; PHOTOADAPTATION; PRODUCTIVITY; WATERS; OCEAN; ACCLIMATION; LIMITATION</t>
  </si>
  <si>
    <t>An individual-based model is presented which describes the spatial and temporal evolution of phytoplankton growth in terms of a Lagrangian ensemble of cells affected by various physical and biological forcing factors. The motion of cells develops according to a turbulent velocity field which simulates the Antarctic mixed layer during the summer. The cell growth is a function of the irradiance regime, nutrient availability and the vertical position of the individual with respect to the other cells (in order to evaluate the self-shading effect). The values of photosynthetic parameters used to simulate the photophysiological response of the organisms are derived from measurements collected in the Ross Sea. In contrast to previous individual-based descriptions, all the physical and biological processes involved are explicitly reproduced in their dynamical features. Coupling different mixing levels with photoacclimation strategies leads to a wide range of photophysiological responses which underline the role of individual physiological histories in determining the growth of the population as a whole. Simulated photosynthetic parameters, chlorophyll a concentrations and integrated primary production correspond closely to in situ data and confirm that photoacclimation to low irradiance and strong mixing regimes may be considered as crucial factors in the photosynthetic performance of Antarctic phytoplankton.</t>
  </si>
  <si>
    <t>Univ Napoli Parthenope, I-80133 Naples, Italy; Staz Zool Anton Dohrn, I-80121 Naples, Italy</t>
  </si>
  <si>
    <t>Parthenope University Naples; Stazione Zoologica Anton Dohrn di Napoli</t>
  </si>
  <si>
    <t>Univ Napoli Parthenope, Via De Gasperi 5, I-80133 Naples, Italy.</t>
  </si>
  <si>
    <t>zambianchi, enrico/KGK-8209-2024; Cianelli, Daniela/M-7292-2016; Ribera d'Alcala', Maurizio/B-7114-2012</t>
  </si>
  <si>
    <t>zambianchi, enrico/0000-0001-5474-7466; Cianelli, Daniela/0000-0003-2195-7517; Ribera d'Alcala', Maurizio/0000-0002-5492-9961</t>
  </si>
  <si>
    <t>10.1017/S0954102004001968</t>
  </si>
  <si>
    <t>WOS:000222280700007</t>
  </si>
  <si>
    <t>Stewart, FJ; Fritsen, CH</t>
  </si>
  <si>
    <t>Bacteria-algae relationships in Antarctic sea ice</t>
  </si>
  <si>
    <t>austral winter; date of sea ice formation; microbial loop; Ross sea; Weddell sea; Western Antarctic Peninsula</t>
  </si>
  <si>
    <t>PHOTOSYNTHESIS-IRRADIANCE RELATIONSHIPS; PRESERVED SEAWATER SAMPLES; WESTERN WEDDELL SEA; MICROBIAL COMMUNITIES; PACK-ICE; ROSS SEA; AUSTRAL SUMMER; SOUTHERN-OCEAN; MCMURDO-SOUND; VERTICAL-DISTRIBUTION</t>
  </si>
  <si>
    <t>Energy transfer in microbial food webs is partly quantified by the relationship between bacterial and algal biomass. Tight spatial relationships suggest active bacterial assimilation of dissolved photosynthate in temperate marine and fresh waters. However, studies in the Antarctic suggest that bacterial biomass generation from algal-derived dissolved organic matter is highly variable across seasons and habitats. Regression analysis was used to measure how bacteria covaried with algae in sea ice and water column habitats at three sites around Antarctica. Bacteria and algae were positively related in sea ice of the Weddell Sea during early winter 1992 (r(2) = 0.16, slope = 0.24) and across sea ice and upper water column habitats of the Ross Sea during summer 1999 (r(2) = 0.52, slope 0.50). Conversely, bacteria and algae exhibited no discernible relationship in the water column and first year ice habitats of the Western Antarctic Peninsula region in winter 2001 (r(2) = 0.003, slope = -0.04). Low algal production and residual biomass probably limited bacterial production and facilitated bacteria-algae uncoupling in winter sea ice of the Western Antarctic Peninsula. Winter sea ice algal biomass was probably limited by a relatively late date of initial ice formation, reduced multi-year ice coverage, and a lack of radiant energy in the winter ice pack.</t>
  </si>
  <si>
    <t>Univ Nevada, Desert Res Inst, Div Earth &amp; Ecosyst Sci, Reno, NV 89512 USA</t>
  </si>
  <si>
    <t>Nevada System of Higher Education (NSHE); Desert Research Institute NSHE; University of Nevada Reno</t>
  </si>
  <si>
    <t>Stewart, FJ (corresponding author), Univ Nevada, Desert Res Inst, Div Earth &amp; Ecosyst Sci, 2215 Raggio Pkwy, Reno, NV 89512 USA.</t>
  </si>
  <si>
    <t>fjstewart@fas.harvard.edu</t>
  </si>
  <si>
    <t>10.1017/S0954102004001889</t>
  </si>
  <si>
    <t>WOS:000222280700008</t>
  </si>
  <si>
    <t>Cannone, N</t>
  </si>
  <si>
    <t>Minimum area assessment and different sampling approaches for the study of vegetation communities in Antarctica</t>
  </si>
  <si>
    <t>Maritime Antarctica; phytosociological survey; point intercept; species/area curve</t>
  </si>
  <si>
    <t>SOUTH-SHETLAND ISLANDS; CONTINENTAL ANTARCTICA; WILKES-LAND; LICHEN FLORA; CLASSIFICATION; BRYOPHYTE; GLACIER</t>
  </si>
  <si>
    <t>Antarctic vegetation offers excellent opportunities for the study of dynamics and biodiversity of natural systems with high environmental sensitivity. This paper addresses the methodological and technical aspects for the minimum area (MA) assessment (the smallest area which adequately represents community composition) and compares three different sampling approaches for vegetation at Jubany, King George Island. Five target communities, among the most widespread and representative of a wide range of floristic richness and dynamism, were selected through the phytosociological study. The minimum area, determined from four methods, ranged between 2 and 24 m(2). Similar values have been obtained for the polar desert vegetation of the Northern Hemisphere. Three sampling approaches were tested in the five communities: the phytosociological survey with 100 cm grid, the phytosociological survey with 5 cm grid, the point intercept with 10 cm grid. To achieve comparable data a standard plot, satisfying the MA requirements of all the communities, has been adopted for all the study sites. The results indicate that the integration of the three methods provides the highest level of information, especially in respect of limitations on field sampling and logistics.</t>
  </si>
  <si>
    <t>Milano Bicocca Univ, Dept Environm Sci, I-20126 Milan, Italy</t>
  </si>
  <si>
    <t>University of Milano-Bicocca</t>
  </si>
  <si>
    <t>Cannone, N (corresponding author), Milano Bicocca Univ, Dept Environm Sci, Piazza Sci 1, I-20126 Milan, Italy.</t>
  </si>
  <si>
    <t>nicoletta.cannone@unimib.it</t>
  </si>
  <si>
    <t>Cannone, Nicoletta/W-8651-2019</t>
  </si>
  <si>
    <t>Cannone, Nicoletta/0000-0002-3390-3965</t>
  </si>
  <si>
    <t>10.1017/S0954102004001956</t>
  </si>
  <si>
    <t>WOS:000222280700009</t>
  </si>
  <si>
    <t>Vincke, S; Ledeganck, P; Beyens, L; Van De Vijver, B</t>
  </si>
  <si>
    <t>Soil testate amoebae from sub-Antarctic Iles Crozet</t>
  </si>
  <si>
    <t>bio-diversity; community analysis; ecology; Ile de la Possession; moisture; rhizopoda</t>
  </si>
  <si>
    <t>FRESH-WATER; PROTOZOA; FAUNA; ECOLOGY; SUPPLEMENT; RHIZOPODA; MONOGRAPH; DIVERSITY</t>
  </si>
  <si>
    <t>An ecological study of the soil testate amoebae (Protozoa, Rhizopoda) communities on the sub-Antarctic island of he de la Possession (Iles Crozet) revealed 65 taxa, belonging to 20 genera. Trinema lineare and Euglypha laevis were the most dominant species in all types of soils on the island. A Redundancy Analysis revealed three communities that characterize specific habitats: i. fellfield soils, characterized by low moisture values and low organic material content, contained fewer taxa and fewer individuals, ii. peaty valley soils, with lower pH values, showed high abundances and diversity, and iii. soils influenced by sea spray and marine animals had higher nutrient contents, elevated chloride and conductance values, resulting in more tests of Difflugiella oviformis, Nebela dentistoma and Edaphonobiotus campascoides. Special attention was given to the species composition in relation to the soil type and its moisture content. A comparison with aquatic habitats on Ile de la Possession was made.</t>
  </si>
  <si>
    <t>Univ Antwerp, Dept Biol, Unit Polar Ecol Limnol &amp; Paleobiol, Groenenborgerlaan 171,Campus Middelheim, B-2020 Antwerp, Belgium.</t>
  </si>
  <si>
    <t>10.1017/S0954102004001993</t>
  </si>
  <si>
    <t>WOS:000222280700010</t>
  </si>
  <si>
    <t>Olave-Concha, N; Ruiz-Lara, S; Muñov, X; Bravo, LA; Corcuera, LJ</t>
  </si>
  <si>
    <t>Accumulation of dehydrin transcripts and proteins in response to abiotic stresses in Deschampsia antarctica</t>
  </si>
  <si>
    <t>ABA; Antarctica; dehydration; environmental stress; grass; Poaceae; South Shetland islands</t>
  </si>
  <si>
    <t>SIGNAL-TRANSDUCTION; GENE-EXPRESSION; CELL-SHAPE; PLANT; COLD; LOCALIZATION; DEHYDRATION; DROUGHT; LEAVES; SALT</t>
  </si>
  <si>
    <t>Deschampsia antarctica Desv. is one of two vascular plants from the Maritime Antarctic. It is usually exposed to cold, salt, and desiccating winds. We hypothesize that D. antarctica has genes that encode dehydrin proteins and their expression is regulated by low temperature, salt or osmotic stress. To test this hypothesis a fragment of a dehydrin gene from D. antarctica was identified and used as a probe to study dehydrin expression under low temperature, salt, and osmotic stress, and exogenous ABA (abscisic acid) treatments. An anti-dehydrin antibody was also used to study dehydrin protein accumulation under the same treatments. Southern analysis of genomic DNA treated with different endonucleases showed more than four bands recognized by the probe, suggesting that D. antarctica has several dehydrin genes. Northern analysis showed two putative dehydrin transcripts of 1.0 kb accumulated only under exogenous ABA and 1.6 kb under osmotic and salt treatments, suggesting that D. antarctica would have ABA-dependent and independent pathways for regulation of dehydrin expression. Western analysis showed seven dehydrin proteins (58, 57, 55, 53, 48, 30 and 27 kDa) under the different stress treatments. Cold-accumulated dehydrin proteins were immunolocalized, showing that they are associated with vascular and epidermal tissue, which are preferential ice nucleation zones.</t>
  </si>
  <si>
    <t>Univ Concepcion, Fac Ciencias Nat &amp; Oceanog, Dept Bot, Concepcion, Chile</t>
  </si>
  <si>
    <t>Univ Concepcion, Fac Ciencias Nat &amp; Oceanog, Dept Bot, Concepcion, Chile.</t>
  </si>
  <si>
    <t>lcorcuer@udec.cl</t>
  </si>
  <si>
    <t>Bravo, León/AAO-8437-2020; Ruiz-Lara, Simon/Z-5843-2019; Corcuera, Luis J/G-1714-2014; Bravo, Leon/H-9251-2018</t>
  </si>
  <si>
    <t>Bravo, León/0000-0003-4705-4842; Ruiz-Lara, Simon/0000-0001-8476-2288; Bravo, Leon/0000-0003-4705-4842</t>
  </si>
  <si>
    <t>10.1017/S0954102004001920</t>
  </si>
  <si>
    <t>WOS:000222280700011</t>
  </si>
  <si>
    <t>Hunter, MA; Riley, TR; Millar, IL</t>
  </si>
  <si>
    <t>Middle Jurassic air fall tuff in the sedimentary latady formation, eastern Ellsworth Land</t>
  </si>
  <si>
    <t>Antarctic Peninsula; Gondwana; mount poster formation; rhyolite; volcanic</t>
  </si>
  <si>
    <t>ANTARCTIC PENINSULA; GEOCHEMICAL EVIDENCE; SILICIC VOLCANISM; BREAK-UP; GONDWANA; PATAGONIA; MAGMATISM; BASIN; ARC</t>
  </si>
  <si>
    <t>Rhyolitic volcanism along the proto-Pacific margin of Gondwana occurred at intervals throughout the Jurassic. Silicic melt generation has been interpreted as a result of interaction between mantle plumes and subduction modified lower crust. The rhyolitic Mount Poster Formation of the southern Antarctic Peninsula is c. 184 Ma in age (VI), whereas silicic volcanism of the northern Antarctic Peninsula is c. 168 Ma (V2). A thin, (13.5 cm) reworked air fall tuff, interbedded with sandstone and mudstone of the Latady Formation in the southern Antarctic Peninsula has a REE pattern similar to V2 volcanic material but is isotopically similar to the extracaldera, low-Ti rhyolites of the VI Mount Poster Formation. The tuff is interbedded with lithofacies that have been assigned a Callovian age (164-159 Ma) in the west of the area. Simple mixing between a MASH source and reworked Early Jurassic (184 Ma) V I volcanic material during V2 volcanism in the area explains the apparent discrepancy between the faunal age and the isotopic characteristics of the ash fall. This supports a Middle Jurassic (168 Ma) age that also corresponds to a 167 3 Ma age from Mt Rex on the periphery of the Mount Poster Formation, which was previously thought to be anomalous.</t>
  </si>
  <si>
    <t>British Antarctic Survey, NERC, Cambridge CB3 0ET, England; British Geol Survey, NERC, Isotope Geosci Lab, Nottingham NG12 5GG, England</t>
  </si>
  <si>
    <t>UK Research &amp; Innovation (UKRI); Natural Environment Research Council (NERC); NERC British Antarctic Survey; UK Research &amp; Innovation (UKRI); Natural Environment Research Council (NERC); NERC British Geological Survey</t>
  </si>
  <si>
    <t>Hunter, MA (corresponding author), British Antarctic Survey, NERC, High Cross,Madingley Rd, Cambridge CB3 0ET, England.</t>
  </si>
  <si>
    <t>Millar, Ian L/F-1541-2010</t>
  </si>
  <si>
    <t>Riley, Teal/0000-0002-3333-5021</t>
  </si>
  <si>
    <t>10.1017/S0954102004001944</t>
  </si>
  <si>
    <t>WOS:000222280700012</t>
  </si>
  <si>
    <t>Sell, I; Poupeau, G; González-Casado, JM; López-Martínez, J</t>
  </si>
  <si>
    <t>A fission track thermochronological study of King George and Livingston Islands, South Shetland Islands (West Antarctica)</t>
  </si>
  <si>
    <t>apatite fission track dating; Bransfield Basin Rifting; cenozoic; Northern Antarctic Peninsula; thermochronology</t>
  </si>
  <si>
    <t>LAND SHEAR ZONE; HURD PENINSULA; TECTONIC EVOLUTION; BRANSFIELD BASIN; PACIFIC MARGIN; RIDGE; PLATE; SUBDUCTION; APATITE; MODEL</t>
  </si>
  <si>
    <t>This paper reports the dating of apatite fission tracks in eleven rock samples from the South Shetland Archipelago, an island arc located to the north-west of the Antarctic Peninsula. Apatites from Livingston Island were dated as belonging to the Oligocene (25.8 Ma: metasediments, Miers Bluff Formation, Hurd Peninsula) through to the Miocene (18.8 Ma: tonalites, Barnard Point). Those from King George Island were slightly older, belonging to the Early Oligocene (32.5 Ma: granodiorites, Barton Peninsula). Towards the back-arc basin (Bransfield Basin), the apatite appears to be younger. This allows an opening rate of approximately 1.1 km Ma(-1) (during the Miocene-Oligocene interval) to be calculated for Bransfield Basin. Optimization of the apatite data suggests cooling to 100 +/- 10degreesC was coeval with the end of the main magmatic event in the South Shetland Arc (Oligocene), and indicates slightly different tectonic-exhumation histories for the different tectonic blocks.</t>
  </si>
  <si>
    <t>Univ Autonoma Madrid, Fac Ciencias, Dept Quim Agricola Geol &amp; Geoquim, E-28049 Madrid, Spain; Univ Michel Montaigne Bordeaux 3, Inst Rech Archeomateriaux, F-33607 Pessac, France; Univ Michel Montaigne Bordeaux 3, CNRS, Ctr Rech Phys Appl Archeol, UMR 5060, F-33607 Pessac, France</t>
  </si>
  <si>
    <t>Autonomous University of Madrid; CEA; Centre National de la Recherche Scientifique (CNRS); Universite Bordeaux-Montaigne; Universite de Orleans; Universite de Technologie de Belfort-Montbeliard (UTBM); Centre National de la Recherche Scientifique (CNRS); CNRS - Institute for Humanities &amp; Social Sciences (INSHS); CEA; Universite Bordeaux-Montaigne; Universite de Orleans; Universite de Technologie de Belfort-Montbeliard (UTBM)</t>
  </si>
  <si>
    <t>Univ Autonoma Madrid, Fac Ciencias, Dept Quim Agricola Geol &amp; Geoquim, E-28049 Madrid, Spain.</t>
  </si>
  <si>
    <t>g.casado@uam.es</t>
  </si>
  <si>
    <t>Lopez-Martinez, Jeronimo/C-5744-2011</t>
  </si>
  <si>
    <t>Lopez-Martinez, Jeronimo/0000-0002-1750-8287</t>
  </si>
  <si>
    <t>10.1017/S0954102004001907</t>
  </si>
  <si>
    <t>WOS:000222280700013</t>
  </si>
  <si>
    <t>Bergamasco, A; Defendi, V; Budillon, G; Spezie, G</t>
  </si>
  <si>
    <t>Downslope flow observations near Cape adare shelf-break</t>
  </si>
  <si>
    <t>Antarctica; downslope processes; high salinity shelf water; Ross Sea; shelf/slope interactions; water masses characterization</t>
  </si>
  <si>
    <t>DENSE WATER; OCEANOGRAPHY</t>
  </si>
  <si>
    <t>The analysis of two high resolution hydrological datasets acquired during the 1997 and 2001 summers across the Antarctic continental shelf-break near Cape Adare (Ross Sea) is presented. The main focus of these cruises was the investigation of the overflow of the High Salinity Shelf Water (HSSW). This dense and salty water mass forms along Victoria Land and flows northward, descending the slope near Cape Adare. Water types characterizing the study area are detected through vertical salinity profiles and by the horizontal distributions of the temperature and salinity. Temperature and salinity hydrological sections obtained by means of objective analysis method well describe the water masses interactions at the shelf/slope edge. The 1997 dataset shows evidence of a strong HSSW signature on the slope, but it is difficult to quantify the spatial scales involved in the spreading mechanism, because the overflow takes place at the edge of the investigation area. The 2001 data, collected at the same position with improved spatial and temporal resolution, clearly indicates the absence of a true HSSW downslope process. Even though no estimation of the amount of downslope flow can be given at present due to the resolution of the available dataset, it is possible to get a better phenomenological picture of the process by comparing the two years.</t>
  </si>
  <si>
    <t>CNR, Inst Marine Sci, I-30125 Venice, Italy; Univ Parthenope, Inst Meteorol &amp; Oceanog, I-80133 Naples, Italy</t>
  </si>
  <si>
    <t>Consiglio Nazionale delle Ricerche (CNR); Istituto di Scienze Marine (ISMAR-CNR); Parthenope University Naples</t>
  </si>
  <si>
    <t>CNR, Inst Marine Sci, San Polo 1364, I-30125 Venice, Italy.</t>
  </si>
  <si>
    <t>valentina.defendi@ve.ismar.cnr.it</t>
  </si>
  <si>
    <t>Budillon, Giorgio/O-5348-2014; CNR, Ismar/P-1247-2014</t>
  </si>
  <si>
    <t>Budillon, Giorgio/0000-0003-1756-2221; Bergamasco, Alessandro/0000-0003-3138-8418; CNR, Ismar/0000-0001-5351-1486</t>
  </si>
  <si>
    <t>10.1017/S0954102004001981</t>
  </si>
  <si>
    <t>WOS:000222280700014</t>
  </si>
  <si>
    <t>Scambos, T; Bohlander, J; Raup, B; Haran, T</t>
  </si>
  <si>
    <t>Glaciological characteristics of Institute Ice Stream using remote sensing</t>
  </si>
  <si>
    <t>Antarctica; glaciology; ice streams; Institute Ice Stream; mass balance; remote sensing</t>
  </si>
  <si>
    <t>MASS-BALANCE; SHELF; SHEET; TRIBUTARIES; ANTARCTICA; WIDESPREAD; MODEL; FLOW</t>
  </si>
  <si>
    <t>We assess the ice flow of Institute Ice Stream (IIS; 81.5degreesS, 75degreesW) and the adjacent Ronne Ice Shelf using satellite images and geophysical parameters from recent continent-wide compilations. Landsat image pairs from the 1980s and 1990s are used to determine ice velocity. Peak speed is 398 +/- 10 m a(-1). Several mappings using images spanning an eleven-year period indicate this speed and the pattern of ice flow throughout the mapped portion of the stream is constant to within +/-20 m a(-1). Combining catchment extent (141 700 km(2)) with surface accumulation, mass input to IIS is 25.1 +/- 2 Gt a(-1). Mean ice thickness across the grounding line is 1177 m. Mass flux to the Ronne Ice Shelf, determined from these values and our velocity profile, is 22.7 +/- 2 Gt a(-1). Topographic mapping using photoclinometry, coupled with ice thickness and ice velocity, permits an assessment of driving force versus flow speed. This indicates wide variations in basal resistance. Despite evidence of present-day near-balance and constant speed in the ice stream trunk, a recent change in outflow is implied by folding of shelf streaklines near Korff Ice Rise. This may be a result of changing shelf thickness or erosion of Doake Ice Rumples.</t>
  </si>
  <si>
    <t>Univ Colorado, CIRES, Natl Snow &amp; Ice Data Ctr, Boulder, CO 80309 USA</t>
  </si>
  <si>
    <t>Univ Colorado, CIRES, Natl Snow &amp; Ice Data Ctr, UCB Box 449,1540 30th St, Boulder, CO 80309 USA.</t>
  </si>
  <si>
    <t>teds@icehouse.colorado.edu</t>
  </si>
  <si>
    <t>Scambos, Ted A/B-1856-2009</t>
  </si>
  <si>
    <t>SCAMBOS, Ted A./0000-0003-4268-6322</t>
  </si>
  <si>
    <t>10.1017/S0954102004001919</t>
  </si>
  <si>
    <t>WOS:000222280700015</t>
  </si>
  <si>
    <t>Cuthbert, R; Hilton, G</t>
  </si>
  <si>
    <t>Introduced house mice Mus musculus:: a significant predator of threatened and endemic birds on Gough Island, South Atlantic Ocean?</t>
  </si>
  <si>
    <t>Tristan albatross; Diomedea (exulans) dabbenena; Atlantic petrel; Pterodroma incerta; gough bunting; Rowettia goughensis; house mice; Mus musculus; sub-Antarctic islands; predation; conservation</t>
  </si>
  <si>
    <t>ALBATROSS DIOMEDEA-EXULANS; NEW-ZEALAND; SURVIVAL; BIOLOGY; IMPACT; SEABIRD; PETREL; SIZE</t>
  </si>
  <si>
    <t>House mice Mus musculus have successfully colonized many temperate and sub-Antarctic islands that are the location for breeding colonies of millions of seabirds. Unlike other introduced mammals, the impact of house mice on seabirds and endemic birds is believed to have been negligible. The breeding ecology of seabirds breeding on Gough Island, central South Atlantic Ocean, was studied for the first time during September 2000 to September 2001. Breeding success of the endangered Tristan albatross Diomedea (exulans) dabbenena and endangered Atlantic Petrel Pterodroma incerta were 27.3 and 19.9% respectively. Mortality of large Tristan albatross and Atlantic petrel chicks was observed, and the pattern of wounds and observations of feeding indicate that introduced mice were responsible for this predation. Breeding numbers of the endemic Gough bunting Rowettia goughensis are mostly found in upland areas of Gough Island where mice are scarce and are restricted to inaccessible cliffs in the lowlands where mice are abundant. This pattern, together with the high predation rates of artificial-eggs in lowland habitats in comparison to the uplands, strongly suggests that mice constrain the distribution of Gough buntings. The results of this study provide the first evidence for the role of house mice as a significant predator of endangered and endemic birds. Further research is required to determine if the observed levels of mice predation are a regular occurrence. (C)2003 Elsevier Ltd. All rights reserved.</t>
  </si>
  <si>
    <t>Royal Soc Protect Birds, Sandy SG19 2DL, Beds, England; Univ Cape Town, Percy Fitzpatrick Inst African Ornithol, ZA-7701 Rondebosch, South Africa</t>
  </si>
  <si>
    <t>Royal Society for Protection of Birds; University of Cape Town</t>
  </si>
  <si>
    <t>Beacon Ecol, Vine Cottage, Hailey OX29 9UB, Witney, England.</t>
  </si>
  <si>
    <t>richard_cuthbert@yahoo.co.uk</t>
  </si>
  <si>
    <t>Hilton, Geoff/H-3086-2017</t>
  </si>
  <si>
    <t>Hilton, Geoff/0000-0001-9062-3030</t>
  </si>
  <si>
    <t>10.1016/j.biocon.2003.08.007</t>
  </si>
  <si>
    <t>815BW</t>
  </si>
  <si>
    <t>WOS:000221018800003</t>
  </si>
  <si>
    <t>Levinson, DH; Waple, AM</t>
  </si>
  <si>
    <t>State of climate in 2003</t>
  </si>
  <si>
    <t>BULLETIN OF THE AMERICAN METEOROLOGICAL SOCIETY</t>
  </si>
  <si>
    <t>QUASI-BIENNIAL OSCILLATION; AIR-TEMPERATURE VARIATIONS; WEST-AFRICAN RAINFALL; SEA-ICE-EXTENT; EL-NINO; INTERANNUAL VARIABILITY; SOUTHERN-OSCILLATION; SUMMER RAINFALL; SURFACE; OCEAN</t>
  </si>
  <si>
    <t>The earth's climate was influenced by a moderate El Nino in the tropical Pacific Ocean at the beginning of 2003. This ENSO warm event developed during October-November of 2002, and eventually dissipated during March-April 2003, giving way to near-neutral ENSO conditions for the remainder of the year. Despite the cessation of El Nino during the boreal spring, the ENSO warm event affected regional precipitation anomalies over a broad area of the Pacific basin, including wet anomalies along the west coast of South America, and dry anomalies in eastern Australia, the southwest Pacific, and Hawaii. The global mean surface temperature in 2003 was within the highest three annual values observed during the period of regular instrumental records (beginning in approximately 1880), but below the 1998 record-high value. Global surface temperatures in 2003 were 0.46degreesC (0.83degreesF) above the 1961-90 mean, according to one U.K. record, which ranked as third highest in this archive. In the U.S. temperature archive, the 2003 anomaly was also 0.46degreesC (0.83degreesF), equivalent to the 2002 value, which ranked second over the period of record. Similar to the surface temperature anomalies, satellite retrievals of global midtropospheric temperatures ranked 2003 as third warmest relative to the 1979-98 mean value. The hurricane season was extremely active in the Atlantic basin, with a total of 16 tropical storms, seven hurricanes, and three major hurricanes in 2003. Five of these tropical cyclones made landfall in the United States, three made landfall in northeastern Mexico, and a tropical storm affected Hispanola. In addition, Nova Scotia and Bermuda experienced devastating impacts from hurricanes in 2003. Another notable aspect of the season in the Atlantic was the formation of five tropical storms over the Gulf of Mexico, which tied the season high observed in 1957. In addition, three tropical storms formed outside of the normal (June-November) hurricane season in 2003-one in April and two in December-which made this the first season since 1887 that two tropical storms have formed during December in the Atlantic basin. Also of note was the below-normal activity in the eastern North Pacific basin. There were no major hurricanes in this basin during the 2003 season, which made this the first year since 1977 with no category 3-S storms. Despite the below-normal activity, four tropical cyclones made landfall on the Pacific coast of Mexico, two as hurricanes and two as tropical storms, which was twice the long-term mean. The summer of 2003 was one of the warmest on record across parts of Europe, where a heat wave affected most of Central and Western Europe. Two distinct periods of exceptional heat occurred during the season-the first in June and the second during the latter half of July and the first half of August. The July-August heat wave was the more serious of the two, since it coincided with the normal peak in summer temperatures and was accompanied by an almost complete absence of rainfall. The high temperatures and dry conditions exacerbated forest fires that burned across southern France and Portugal in July and August. The record heat wave spread across most of Western Europe in August, and it was likely the warmest summer since 1540 in parts of Central Europe. In France, 11,000 heat-related deaths were reported between late July and mid-August. In Germany, both June and August were the warmest such months since at least the beginning of the twentieth century. The summer was also the hottest in Germany since 190 1, and, with the exception of some stations in northern and northwestern Germany, it was the hottest summer since the beginning of recorded measurements. Other climatic events of note during 2003 included 1) record wet conditions across parts of the southeast, mid-Atlantic, and eastern coast of the United States; 2) record cold temperatures and anomalous June snowfalls in European Russia; 3) S46 tornadoes during May 2003 in the United States, which was an all-time record of reported tornadoes for any month; 4) continuing drought conditions across the western United States, with some areas experiencing their fourth and fifth years of significant precipitation deficits; S) severe bushfires in eastern Australia in January, the worst wildfire season on record in British Columbia during August, as well as severe wildfires across southern California in October; 6) above-average rainfall across West Africa and the Sahel, which had its second wettest rainy season since 1990; 7) a return to normal rainfall across the Indian subcontinent during the summer monsoon; and 8) a near-record extent of the Antarctic ozone hole, which was 28.2 million km(2) at its maximum in September 2003.</t>
  </si>
  <si>
    <t>NOAA NESDIS, Natl Climat Data Ctr, Climate Monitoring Branch, Asheville, NC 28801 USA</t>
  </si>
  <si>
    <t>National Oceanic Atmospheric Admin (NOAA) - USA; National Center Atmospheric Research (NCAR) - USA</t>
  </si>
  <si>
    <t>NOAA NESDIS, Natl Climat Data Ctr, Climate Monitoring Branch, Asheville, NC 28801 USA.</t>
  </si>
  <si>
    <t>David.Levinson@noaa.gov</t>
  </si>
  <si>
    <t>Camargo, Suzana J./C-6106-2009</t>
  </si>
  <si>
    <t>Camargo, Suzana J./0000-0002-0802-5160</t>
  </si>
  <si>
    <t>0003-0007</t>
  </si>
  <si>
    <t>1520-0477</t>
  </si>
  <si>
    <t>B AM METEOROL SOC</t>
  </si>
  <si>
    <t>Bull. Amer. Meteorol. Soc.</t>
  </si>
  <si>
    <t>S1</t>
  </si>
  <si>
    <t>S72</t>
  </si>
  <si>
    <t>10.1175/BAMS-85-6-Levinson</t>
  </si>
  <si>
    <t>834MU</t>
  </si>
  <si>
    <t>WOS:000222416000017</t>
  </si>
  <si>
    <t>Escribano, R; Ortega, IK; Mosteo, RG; Gómez, PC</t>
  </si>
  <si>
    <t>The Br-O bond in halogen oxides -: Empirical force constants and electronic characteristics</t>
  </si>
  <si>
    <t>CANADIAN JOURNAL OF CHEMISTRY</t>
  </si>
  <si>
    <t>bromine oxides; bond electronic structure</t>
  </si>
  <si>
    <t>DENSITY-FUNCTIONAL THEORY; ANTARCTIC OZONE; FREE-RADICALS; AB-INITIO; STRATOSPHERIC CHEMISTRY; MOLECULAR-PROPERTIES; ABSORPTION-SPECTRUM; ROTATIONAL SPECTRUM; BROMINE DIOXIDES; CHLORINE OXIDES</t>
  </si>
  <si>
    <t>A number of bromine oxides and mixed chlorine-bromine oxides for which spectroscopic information is available have been chosen to investigate the nature and characteristics of the Br-O bond. The study consists of the empirical determination of stretching force constants for these bonds from observed vibrational spectroscopic data and the analysis of the topological characteristics of the bonds via ab initio calculations. The latter have been performed at the MP2 level with a 6-311+G(2df) basis set, to provide a uniform and systematic framework for comparing these species. Three types of Br-O bonds have been found, with different characteristics of strength and electron density. The results are compared with those recently found for the Cl-O bond in chlorine oxides.</t>
  </si>
  <si>
    <t>CSIC, Inst Estructura Mat, Madrid 28806, Spain; Univ Jaen, Dept Quim Fis &amp; Analit, Jaen, Spain; Univ Zaragoza, Escuela Univ Politecn, Teruel 44071, Spain; Univ Complutense, Fac Quim, Dept Quim Fis 1, E-28040 Madrid, Spain</t>
  </si>
  <si>
    <t>Consejo Superior de Investigaciones Cientificas (CSIC); CSIC - Instituto de Estructura de la Materia (IEM); Universidad de Jaen; University of Zaragoza; Complutense University of Madrid</t>
  </si>
  <si>
    <t>CSIC, Inst Estructura Mat, Serrano 123, Madrid 28806, Spain.</t>
  </si>
  <si>
    <t>rescribano@iem.cfmac.csic.es</t>
  </si>
  <si>
    <t>Escribano, Rafael/I-4599-2015; Ortega Colomer, Ismael Kenneth/A-7930-2008</t>
  </si>
  <si>
    <t>Escribano, Rafael/0000-0002-3048-9420; Ortega Colomer, Ismael Kenneth/0000-0002-9299-2013</t>
  </si>
  <si>
    <t>0008-4042</t>
  </si>
  <si>
    <t>1480-3291</t>
  </si>
  <si>
    <t>CAN J CHEM</t>
  </si>
  <si>
    <t>Can. J. Chem.</t>
  </si>
  <si>
    <t>10.1139/V04-016</t>
  </si>
  <si>
    <t>861XA</t>
  </si>
  <si>
    <t>WOS:000224450700036</t>
  </si>
  <si>
    <t>McAllister, M; Hill, S; Agnew, D; Kirkwood, G; Beddington, J</t>
  </si>
  <si>
    <t>A Bayesian hierarchical formulation of the De Lury stock assessment model for abundance estimation of Falkland Islands' squid (Loligo gahi)</t>
  </si>
  <si>
    <t>CANADIAN JOURNAL OF FISHERIES AND AQUATIC SCIENCES</t>
  </si>
  <si>
    <t>IMPORTANCE RESAMPLING ALGORITHM; FISHERY-MANAGEMENT; DISTRIBUTIONS; ATLANTIC</t>
  </si>
  <si>
    <t>In stock assessments of short-lived species, De Lury depletion models are commonly applied in which commercial catches and changing catch rates are used to estimate resource abundance. These methods are applied within fishing seasons to decide when to close the fishery and can be reliable if the data show a distinct decline in response to the catch removals. However, this is not always the case, particularly when sampling error variation masks trends in abundance. This paper presents a Bayesian hierarchical formulation of the De Lury model in which data from previous years are combined hierarchically in the same stock assessment model to improve parameter estimation for future stock assessments. The improved precision in parameter estimates is demonstrated using data for the Falkland Islands' Loligo gahi squid fishery.</t>
  </si>
  <si>
    <t>Univ London Imperial Coll Sci Technol &amp; Med, Dept Environm Sci &amp; Technol, London SW7 2BP, England; British Antarctic Survey, Cambridge CB3 0ET, England</t>
  </si>
  <si>
    <t>Imperial College London; UK Research &amp; Innovation (UKRI); Natural Environment Research Council (NERC); NERC British Antarctic Survey</t>
  </si>
  <si>
    <t>Univ London Imperial Coll Sci Technol &amp; Med, Dept Environm Sci &amp; Technol, RSM Bldg,Prince Consort Rd, London SW7 2BP, England.</t>
  </si>
  <si>
    <t>m.mcallister@imperial.ac.uk</t>
  </si>
  <si>
    <t>Simeon, Hill L/B-2307-2008</t>
  </si>
  <si>
    <t>CANADIAN SCIENCE PUBLISHING</t>
  </si>
  <si>
    <t>0706-652X</t>
  </si>
  <si>
    <t>1205-7533</t>
  </si>
  <si>
    <t>CAN J FISH AQUAT SCI</t>
  </si>
  <si>
    <t>Can. J. Fish. Aquat. Sci.</t>
  </si>
  <si>
    <t>10.1139/F04-084</t>
  </si>
  <si>
    <t>843PJ</t>
  </si>
  <si>
    <t>WOS:000223096000016</t>
  </si>
  <si>
    <t>Short, NH; Gray, AL</t>
  </si>
  <si>
    <t>Potential for RADA,RSAT-2 interferometry: glacier monitoring using speckle tracking</t>
  </si>
  <si>
    <t>CANADIAN JOURNAL OF REMOTE SENSING</t>
  </si>
  <si>
    <t>SATELLITE RADAR INTERFEROMETRY; ICE-SHEET; FLOW; TRIBUTARIES; SHELF; MODEL; FLUX</t>
  </si>
  <si>
    <t>Satellite radar interferometry using differential phase and speckle tracking has emerged as an effective tool for monitoring glacier surface motion. The 24-day repeat orbit of RADARSAT-1 has limited the application of both these techniques to glaciers at high latitudes where long periods of sub-zero temperatures preserve surface conditions and hence coherence. To date, speckle tracking has been particularly successful for velocity measurements of large, fast-flowing glaciers and ice streams. The left-looking mode used in the RADARSAT-1 Antarctic Mapping Mission enabled the first major acquisition of interferometric data and hence large scale velocity mapping of parts of Antarctica. RADARSAT-2 will build upon this success by having easily interchangeable left- and right-imaging modes, enabling complete views of both the Arctic and the Antarctic on a regular basis. The upcoming satellite will also have an ultra-fine resolution mode (similar to3 m) that will reduce the stringent baseline requirements for interferometry and will make the speckle tracking technique suitable for smaller and slower glaciers. Potentially, the high resolution mode could reduce the errors in the speckle tracking method to tens of centimetres; this would make the technique appropriate for monitoring other types of terrain displacement, e.g., seismic or volcanic activity, or even terrain subsidence or slope creep.</t>
  </si>
  <si>
    <t>Canada Ctr Remote Sensing, Ottawa, ON K1A 0Y7, Canada; Noetix Res Inc, Ottawa, ON K1S 2E1, Canada</t>
  </si>
  <si>
    <t>Natural Resources Canada; Strategic Policy &amp; Results Sector - Natural Resources Canada; Canada Centre for Mapping &amp; Earth Observation (CCMEO)</t>
  </si>
  <si>
    <t>Gray, AL (corresponding author), Canada Ctr Remote Sensing, 588 Booth St, Ottawa, ON K1A 0Y7, Canada.</t>
  </si>
  <si>
    <t>laurence.gray@ccrs.nrcan.gc.ca</t>
  </si>
  <si>
    <t>Short, Naomi/0000-0002-4677-9801</t>
  </si>
  <si>
    <t>CANADIAN AERONAUTICS SPACE INST</t>
  </si>
  <si>
    <t>1685 RUSSELL RD, UNIT 1-R, OTTAWA, ON K1G 0N1, CANADA</t>
  </si>
  <si>
    <t>0703-8992</t>
  </si>
  <si>
    <t>CAN J REMOTE SENS</t>
  </si>
  <si>
    <t>Can. J. Remote Sens.</t>
  </si>
  <si>
    <t>10.5589/m03-071</t>
  </si>
  <si>
    <t>Remote Sensing</t>
  </si>
  <si>
    <t>845PF</t>
  </si>
  <si>
    <t>WOS:000223256100027</t>
  </si>
  <si>
    <t>Amini, ZZ; Adabi, MH; Rao, CP</t>
  </si>
  <si>
    <t>Oceanographic controls on sedimentological and geochemical variations in temperate carbonates off western Tasmania, Australia</t>
  </si>
  <si>
    <t>CARBONATES AND EVAPORITES</t>
  </si>
  <si>
    <t>SHELF CARBONATES; ISOTOPIC COMPOSITION; HOLOCENE; WATER; C-13; FRACTIONATION; ARAGONITE; SEDIMENTS; OXYGEN; SALINITY</t>
  </si>
  <si>
    <t>The unrimmed shallow (&lt;200m) continental shelf off western Tasmania covers an area of about 16,000 km(2) in latitudes 40degrees 36 to 44degrees 36S and longitudes 144degrees to 146degrees 36 E. This is an ideal shelf environment for carbonate sedimentation due to availability of nutrients, preferred substrate for the growth of cool temperate biotic carbonates, a constant flow of different water masses, and limited terrigenous input. The sediment distribution on the shelf is characterised by a dominance of silicielastic sediments close to the coast grading to carbonates towards the shelf edge and in deeper water. The dominant grain size is very coarse to medium sand, followed by fine sand, gravel fractions and minor fines (mud). Bryozoans dominate in all bulk samples, while foraminifera and molluscs occur in minor amounts. Skeletal fragments, debris and non-skeletal grains, are the other important components. Bryozoans occur mainly in gravel and very coarse to medium sand fractions, and foraminifera mainly in the fine sand. The higher percentage of bryozoans in the bulk sediments and in all different size fractions is attributed to low salinity, nutrient rich (6 muM NO3-) upwelling sub-Antarctic water, the absence of fines (mud) and low amounts of terrigenous material along middle to deep shelf off western Tasmania. The low abundance of foraminifera in the samples relative to tropical areas is due to lower seawater temperature. Bryozoans and foraminifera contents increase with increasing water depth and molluscs are mainly concentrated around 130 meters. Mineralogy of the bulk sediments is a mixture of high-Mg (mean 60%), to low-Mg (30%) calcite with some aragonite (10%) at all depths and latitudes. This is due to low seawater temperature and presence of bryozoans as the dominant components in these sediments. Sr values decrease with depth and latitude due to decrease in aragonite and high-Mg calcite. Na values increase with increasing water depth due to greater biochemical fractionation caused by faster growth rate of bryozoans and the presence of relatively saline Zeehan Current. Mn and Fe values decrease with increasing water depth, due to low terrigenous input to deeper parts of the shelf. The enrichment of delta(18)O values of bulk sediments in some areas of the shallow shelf is due to the intrusion of cool upwelling sub-Antarctic water. The higher delta(13)C values towards the deeper parts of the shelf reflect the influence of the warmer Zeehan Current.</t>
  </si>
  <si>
    <t>Univ Tasmania, Sch Earth Sci, Hobart, Tas, Australia; Shahid Beheshti Univ, Sch Earth Sci, Tehran, Iran</t>
  </si>
  <si>
    <t>University of Tasmania; Shahid Beheshti University</t>
  </si>
  <si>
    <t>Univ Tasmania, Sch Earth Sci, Hobart, Tas, Australia.</t>
  </si>
  <si>
    <t>zzargara@postoffice.utas.edu.au</t>
  </si>
  <si>
    <t>0891-2556</t>
  </si>
  <si>
    <t>1878-5212</t>
  </si>
  <si>
    <t>CARBONATE EVAPORITE</t>
  </si>
  <si>
    <t>Carbonates Evaporites</t>
  </si>
  <si>
    <t>10.1007/BF03175192</t>
  </si>
  <si>
    <t>827MQ</t>
  </si>
  <si>
    <t>WOS:000221904400001</t>
  </si>
  <si>
    <t>Pietke, RA; Liston, GE; Chapman, WL; Robinson, DA</t>
  </si>
  <si>
    <t>Actual and insolation-weighted Northern Hemisphere snow cover and sea-ice between 1973-2002</t>
  </si>
  <si>
    <t>EXTENT; VARIABILITY; TRENDS</t>
  </si>
  <si>
    <t>Actual and insolation-weighted Northern Hemisphere snow cover and sea ice are binned by latitude bands for the years 1973-2002. Antarctic sea-ice is also analyzed for the years 1980-2002. The use of insolation weighting provides an improved estimate of the radiative feedbacks of snow cover and sea-ice into the atmosphere. One conclusion of our assessment is that while a decrease in both areal and insolation-weighted values have occurred, the data does not show a monotonic decrease of either Arctic sea-ice or Northern Hemisphere snow cover. If Arctic perennial sea-ice is decreasing since the total reduction in areal coverage is relatively small, a large portion of it is being replenished each year such that its radiative feedback to the atmosphere is muted. Antarctic sea-ice areal cover shows no significant long-term trend, while there is a slight decrease in the in solation-weighted values for the period 1980-2002. From the early 1990s to 2001, there was a slight increase in both values. The comparison of general circulation model simulations of changes over the last several decades to observed changes in insolation-weighted sea-ice and snow cover should be a priority research topic.</t>
  </si>
  <si>
    <t>Colorado State Univ, Dept Atmospher Sci, Ft Collins, CO 80523 USA; Univ Illinois, Dept Atmospher Sci, Urbana, IL 61801 USA; Rutgers State Univ, Dept Geog, Piscataway, NJ 08854 USA</t>
  </si>
  <si>
    <t>Colorado State University; University of Illinois System; University of Illinois Urbana-Champaign; Rutgers University System; Rutgers University New Brunswick</t>
  </si>
  <si>
    <t>Pietke, RA (corresponding author), Colorado State Univ, Dept Atmospher Sci, 1371 Campus Delivery, Ft Collins, CO 80523 USA.</t>
  </si>
  <si>
    <t>pielke@atmos.colostate.edu</t>
  </si>
  <si>
    <t>10.1007/s00382-004-0401-5</t>
  </si>
  <si>
    <t>835ZT</t>
  </si>
  <si>
    <t>WOS:000222525200003</t>
  </si>
  <si>
    <t>Labeyrie, L; Jouzel, J; Lévi, C; Cortijo, E</t>
  </si>
  <si>
    <t>Sudden changes in a glacial world.</t>
  </si>
  <si>
    <t>Heinrich events; millennial variability of climate; glacial period</t>
  </si>
  <si>
    <t>DANSGAARD-OESCHGER CYCLES; ATLANTICS HEINRICH EVENTS; SCALE CLIMATE-CHANGE; PERIOD 58-10 KA; GRIP ICE CORE; NORTH-ATLANTIC; GREENLAND ICE; THERMOHALINE CIRCULATION; LAST DEGLACIATION; TROPICAL ATLANTIC</t>
  </si>
  <si>
    <t>The most characteristic records of the millennial variability of climate during the last glacial period may be separated into two classes of signals: Greenland and Antarctic. The Greenland type is found over the whole North American and Euro-Asian continental blocks. Continental cooling associated with the maximum ice sheet extension, and resulting surges on the marine margins have affected the whole latitude range, with a probable strong albedo feedback due to winter snow cover. At the opposite, the surface temperature of tropical oceans did not change as much, which created large seasonal meandering of the Intertropical Convergence Zone (ITCZ), and facilitated meridional atmospheric vapour transport towards cold continents, and heat transfer in particular to the southern hemisphere. The rapid growth of ice sheets facilitated periodic surges and decreases in meridional overturning circulation. We propose that the major difference in the characteristics of the 'Greenland' and 'Antarctic' classes of climate variability result mostly from the difference in continent/ocean distribution in both hemispheres. (C) 2004 Academie des sciences. Publie par Elsevier SAS. Tous droits reserves.</t>
  </si>
  <si>
    <t>CNRS, UM CEA, Lab Sci Climat &amp; Environm, F-91198 Gif Sur Yvette, France; CEA, CNRS, Lab Sci Climat &amp; Environm, UM CEA, F-91190 Gif Sur Yvette, France; Univ Versailles, IPSL, Dept Phys, F-78035 Versailles, France</t>
  </si>
  <si>
    <t>Universite Paris Saclay; CEA; Centre National de la Recherche Scientifique (CNRS); Universite Paris Saclay; CEA; Centre National de la Recherche Scientifique (CNRS); Universite Paris Saclay; Universite Paris Cite</t>
  </si>
  <si>
    <t>Labeyrie, L (corresponding author), CNRS, UM CEA, Lab Sci Climat &amp; Environm, Domaine CNRS, F-91198 Gif Sur Yvette, France.</t>
  </si>
  <si>
    <t>Laurent.Labeyrie@lsce.enrs-gif.fr</t>
  </si>
  <si>
    <t>Labeyrie, Laurent Denis/AAV-8405-2021</t>
  </si>
  <si>
    <t>Labeyrie, Laurent Denis/0000-0002-1554-2449</t>
  </si>
  <si>
    <t>23 RUE LINOIS, 75724 PARIS, FRANCE</t>
  </si>
  <si>
    <t>10.1016/j.crte.2003.12.016</t>
  </si>
  <si>
    <t>830UJ</t>
  </si>
  <si>
    <t>WOS:000222148900011</t>
  </si>
  <si>
    <t>Haywood, AM; Valdes, PJ; Markwick, PJ</t>
  </si>
  <si>
    <t>Cretaceous (Wealden) climates: a modelling perspective</t>
  </si>
  <si>
    <t>CRETACEOUS RESEARCH</t>
  </si>
  <si>
    <t>limited area model; cretaceous; weald; palaeoenvironment; palaeoclimate</t>
  </si>
  <si>
    <t>ISLE-OF-WIGHT; SOUTHERN ENGLAND; VECTIS FORMATION; PALEOENVIRONMENTAL SIGNIFICANCE; WESSEX SUBBASIN; YOUNGER DRYAS; EUROPE; SENSITIVITY; SIMULATION; IMPACT</t>
  </si>
  <si>
    <t>This paper describes the results from a new palaeoclimate modelling exercise for the Early Cretaceous (Barremian) focussed on the Weald (SE England), using a Limited Area Numerical Climate Model (LAM). The palaeoclimate model uses appropriate Barremian boundary conditions and simulates a climate with seasonal Surface temperatures akin to those occurring in parts of the modern Southern Mediterranean. Cold month mean temperatures are simulated as 4-8 degreesC, whilst warm month mean temperatures may reach 36-40 degreesC. Precipitation rates are high during all seasons with little evidence for prolonged drought. The average precipitation rate simulated for any one month is 4-8 mm/day, whilst during parts of the winter (December, January and February) precipitation rates may exceed 16 mm/day. No present-day analogue is available for the climatological pattern predicted for the Barremian. This result differs from other palaeoclimate interpretations for the Weald based on proxy climate data. These data have been interpreted as showing the existence of a seasonal precipitation pattern with a pronounced dry season. The data/model inconsistency can be resolved by, careful examination of the model-predicted moisture budget as a whole. We argue that many of the palaeoclimate moisture proxies record the net hydrological cycle (i.e., precipitation minus evaporation). Although the climate model simulates precipitation year round, the surface temperatures result in very high evaporation rates. Therefore, moisture availability during the Barremian in the soil and for plants during the summer months (June, July and August) is severely restricted even though precipitation levels are substantial. These results demonstrate the importance of considering the moisture balance as a whole rather than focussing on only precipitation when drawing palaeoenvironmental inferences from proxy data. The work underlines the benefits of using numerical climate models in conjunction with proxy data in understanding past climates and environments. (C) 2004 Elsevier Ltd. All rights reserved.</t>
  </si>
  <si>
    <t>British Antarctic Survey, Geol Sci Div, Cambridge CB3 0ET, England; Univ Bristol, Sch Geog Sci, Bristol BS8 1SS, Avon, England; Robertson Res Int Ltd, Llandudno LL30 1SA, Wales</t>
  </si>
  <si>
    <t>UK Research &amp; Innovation (UKRI); Natural Environment Research Council (NERC); NERC British Antarctic Survey; University of Bristol</t>
  </si>
  <si>
    <t>British Antarctic Survey, Geol Sci Div, Madingley Rd, Cambridge CB3 0ET, England.</t>
  </si>
  <si>
    <t>ahay@bas.ac.uk</t>
  </si>
  <si>
    <t>Valdes, Paul/T-2004-2019; Valdes, Paul J/C-4129-2013</t>
  </si>
  <si>
    <t>Valdes, Paul/0000-0002-1902-3283;</t>
  </si>
  <si>
    <t>0195-6671</t>
  </si>
  <si>
    <t>1095-998X</t>
  </si>
  <si>
    <t>CRETACEOUS RES</t>
  </si>
  <si>
    <t>Cretac. Res.</t>
  </si>
  <si>
    <t>10.1016/j.cretres.2004.01.005</t>
  </si>
  <si>
    <t>Geology; Paleontology</t>
  </si>
  <si>
    <t>827MW</t>
  </si>
  <si>
    <t>WOS:000221905000001</t>
  </si>
  <si>
    <t>Crame, JA; Francis, JE; Cantrill, DJ; Pirrie, D</t>
  </si>
  <si>
    <t>Maastrichtian stratigraphy of Antarctica</t>
  </si>
  <si>
    <t>Antarctica; Maastrichtian litho-, bio, and chrono-stratigraphy strontium isotope dates; eustatic sea level falls; palaeotemperatures; extinction patterns</t>
  </si>
  <si>
    <t>JAMES-ROSS-ISLAND; CRETACEOUS-TERTIARY BOUNDARY; SOUTHERN HIGH-LATITUDES; SEYMOUR-ISLAND; NEW-ZEALAND; BASIN; PENINSULA; END; TRANSITION; EVOLUTION</t>
  </si>
  <si>
    <t>Application of a strontium isotope stratigaphy to the Late Cretaceous sedimentary succession of Antarctica has provided the impetus for a comprehensive strati-graphical revision of the terminal Maastrichtian Stage. Both the base and top of the stage have been defined by strontium isotope dates, and a series of inter-island correlations within the James Ross Island region (north-eastern Antarctic Peninsula) indicates the presence of a 1150-m-thick sequence of fine-grained clastic sedimentary rocks. A prolific ammonite fauna has been used to define four informal biozones, and a provisional Early-Late Maastrichtian boundary established. Two regional unconformities have been identified within the Antarctic Maastrichtian succession, dated at approximately 70 Ma and 68 Ma, respectivety. Both these stratigraphical hiatuses may be linked to global sea-level regressions, as could the presence of an extremely shallow-Water fauna in the 65.4-65.3 Ma time interval. There is certainly evidence of low shallow-marine palaeotemperatures in the Antarctic Peninsula throughout the Maastrichtian and these three regressions may be glacioeustatic in origin. Antarctic Maastrichtian marine faunas are clearly of comparatively high abundance but low taxonomic diversity. There is evidence of a number of key taxonomic groups being preferentially excluded from the high Southern latitudes through the Campanian-Maastrichtian by the dual controls of low temperature and decreasing water depth. (C) 2004 Elsevier Ltd. All rights reserved.</t>
  </si>
  <si>
    <t>British Antarctic Survey, Cambridge CB3 0ET, England; Univ Leeds, Ctr Polar Studies, Leeds LS2 9JT, W Yorkshire, England; Univ Leeds, Sch Earth Sci, Leeds LS2 9JT, W Yorkshire, England; Swedish Museum Nat Hist, Palaeobot Sect, S-10405 Stockholm, Sweden; Univ Exeter, Camborne Sch Mines, Sch Geog Archaeol &amp; Earth Resources, Redruth TR15 3SE, Cornwall, England</t>
  </si>
  <si>
    <t>UK Research &amp; Innovation (UKRI); Natural Environment Research Council (NERC); NERC British Antarctic Survey; University of Leeds; University of Leeds; Swedish Museum of Natural History; University of Exeter</t>
  </si>
  <si>
    <t>Crame, JA (corresponding author), British Antarctic Survey, Madingley Rd, Cambridge CB3 0ET, England.</t>
  </si>
  <si>
    <t>a.crame@bas.ac.uk</t>
  </si>
  <si>
    <t>Cantrill, David/R-1415-2019</t>
  </si>
  <si>
    <t>Cantrill, David/0000-0002-1185-4015; Pirrie, Duncan/0000-0002-4954-5920</t>
  </si>
  <si>
    <t>ACADEMIC PRESS LTD ELSEVIER SCIENCE LTD</t>
  </si>
  <si>
    <t>10.1016/j.cretres.2004.02.002</t>
  </si>
  <si>
    <t>WOS:000221905000007</t>
  </si>
  <si>
    <t>van Aken, HM; Ridderinkhof, H; de Ruijter, WPM</t>
  </si>
  <si>
    <t>North Atlantic deep water in the south-western Indian ocean</t>
  </si>
  <si>
    <t>deep water; Indian ocean; inter-ocean exchange</t>
  </si>
  <si>
    <t>AGULHAS CURRENT; BOTTOM WATERS; CIRCULATION; MADAGASCAR; FLOW; TRANSPORT; EXCHANGE; VELOCITY</t>
  </si>
  <si>
    <t>The circulation of deep water in the south-western Indian Ocean has been studied from hydrographic observations and current measurements, obtained during the Dutch-South African Agulhas Current Sources Experiment programme, and from similar public data from the World Ocean Circulation Experiment. The three major water masses involved are the saline North Atlantic deep water (NADW), its derivative in the Antarctic circumpolar current, lower circumpolar deep water (LCDW), and the aged variety of deep water, North Indian deep water (NIDW). Although bound by the shallow topography near Madagascar, about 2 x 10(6) m(3)/s from the upper half of the NADW core appears to flow across the sill in the Mozambique Channel into the Somali Basin, while the remaining NADW flows east at about 45degreesS and is transformed to LCDW by lateral and diapycnal mixing. East of Madagascar the deep circulation is dominated by the southward flow of NIDW. Northward inflow of LCDW into the Indian Ocean therefore can take place only in the eastern half of the Indian Ocean, along the Southeast Indian Ridge and the Ninetyeast Ridge. (C) 2004 Elsevier Ltd. All rights reserved.</t>
  </si>
  <si>
    <t>Royal Netherlands Inst Sea Res, NL-1960 AB Den Burg, Netherlands; Univ Utrecht, Inst Marine &amp; Atmospher Res, Utrecht, Netherlands</t>
  </si>
  <si>
    <t>Utrecht University; Royal Netherlands Institute for Sea Research (NIOZ); Utrecht University</t>
  </si>
  <si>
    <t>Royal Netherlands Inst Sea Res, Landsdiep 4,Horntje,Texel 1797 S2,POB 59, NL-1960 AB Den Burg, Netherlands.</t>
  </si>
  <si>
    <t>veldh@nioz.nl</t>
  </si>
  <si>
    <t>de Ruijter, Wilhelmus/I-2541-2016</t>
  </si>
  <si>
    <t>10.1016/j.dsr.2004.01.008</t>
  </si>
  <si>
    <t>831UG</t>
  </si>
  <si>
    <t>WOS:000222221100001</t>
  </si>
  <si>
    <t>Pfuhl, HA; Shackleton, NJ</t>
  </si>
  <si>
    <t>Two proximal, high-resolution records of foraminiferal fragmentation and their implications for changes in dissolution</t>
  </si>
  <si>
    <t>CCD; dissolution; fragmentation; lysocline; preservation; ocean drilling program; Atlantic; Ceara Rise; leg 154; site 925; site 926</t>
  </si>
  <si>
    <t>CALCIUM-CARBONATE PRESERVATION; SOUTH-ATLANTIC-OCEAN; PLANKTONIC-FORAMINIFERA; DEEP-SEA; INDIAN-OCEAN; CHEMICAL LYSOCLINE; SELECTIVE SOLUTION; SURFACE SEDIMENTS; ION CONCENTRATION; WATER</t>
  </si>
  <si>
    <t>Foraminiferal test fragmentation (150-250 mum-fraction) was studied at similar to3-6 kyr resolution in ODP Sites 925 and 926 on Ceara Rise (similar to3000 and 3600 m water depth) from similar to6.34 to 5.0 Ma. This study investigates the driving forces behind changes in these two records and the potential of this proxy as an indicator of dissolution at depths above the lysocline. The records of fragmentation at both sites display variability concentrated in the precession band and the 125 and 96 kyr cycles of eccentricity superimposed on a low-frequency component, reminiscent of the 400 kyr cycle of eccentricity. Changes in terrigenous flux appear responsible for the manifestation of orbitally driven fragmentation susceptibility at the higher frequencies. The low-frequency trend is evident in both records of fragmentation, but marked by strong increases at the deeper site focusing on a dissolution-horizon suggestive of a supralysocline. Low coherence and shifting phases confound observed spectral power at 400 kyr, suggesting a mix of influences possibly unrelated to orbital variability. Proxies providing detail on changes in the sedimentary carbonate content reveal changes independent of the observed amplitude variability in the records of fragmentation. Low levels of carbonate accumulation and weight % sand up to 6.12 Ma suggest notable carbonate loss coincident with the first interval of increased fragmentation that may be influenced by a high surface to bottom delta(13)C gradient in addition to other factors. Changes in carbonate content at Site 929 on Ceara Rise (4356 m) reveal the same pattern of low-frequency carbonate dissolution as the records of fragmentation, thus identifying changes in depth of the carbonate compensation depth (CCD) as a driving force behind changes in carbonate preservation at shallower depths. Planktic foraminiferal test fragmentation appears to be a good proxy for pulsing of Antarctic Bottom Water (AABW) versus North Atlantic Deep Water (NADW) production at depths near and above the chemical lysocline (CL, similar to80% carbonate content). (C) 2004 Elsevier Ltd. All rights reserved.</t>
  </si>
  <si>
    <t>Univ Cambridge, Godwin Lab, Cambridge CB2 3SA, England</t>
  </si>
  <si>
    <t>Pfuhl, HA (corresponding author), Univ Cambridge, Godwin Lab, Pembroke St NMS, Cambridge CB2 3SA, England.</t>
  </si>
  <si>
    <t>hapfuhl@yahoo.com</t>
  </si>
  <si>
    <t>Pfuhl, Helen A/D-3255-2009</t>
  </si>
  <si>
    <t>10.1016/j.dsr.2004.02.003</t>
  </si>
  <si>
    <t>WOS:000222221100004</t>
  </si>
  <si>
    <t>Delmonte, B; Basile-Doelsch, I; Petit, JR; Maggi, V; Revel-Rolland, M; Michard, A; Jagoutz, E; Grousset, F</t>
  </si>
  <si>
    <t>Comparing the Epica and Vostok dust records during the last 220,000 years: stratigraphical correlation and provenance in glacial periods</t>
  </si>
  <si>
    <t>EARTH-SCIENCE REVIEWS</t>
  </si>
  <si>
    <t>dust; ice cores; Antarctica; Sr-Nd; Paleoclimate</t>
  </si>
  <si>
    <t>C ICE-CORE; DOME-C; EAST ANTARCTICA; ISOTOPIC CONSTRAINTS; SOURCE AREAS; SR; MAXIMUM; ORIGIN; LOESS; CHRONOLOGY</t>
  </si>
  <si>
    <t>A new aeolian dust record from the first 2200 m of the EPICA-Dome C ice core (75degrees06' S, 123degrees21' E) covering about 220,000 years of climatic history is compared to the Vostok (78degrees28' S, 106degrees48' E) ice core [Nature 399 (1999) 429]. The two dust profiles are very similar and several common dust events allow to establish stratigraphical links. The late Quaternary period is characterized at both sites, and likely overall East Antarctic plateau, by high dust input during glacial periods. In the EPICA-Dome C ice core, the dust flux rises by a factor of similar to25, similar to20 and similar to12 in glacial stages 2, 4 and 6 with respect to interglacial periods (Holocene and stage 5.5). The magnitude and pattern of changes are comparable in the Vostok, ice core. In this study, the geographical origin of ice core dust (ICD) in cold periods has been investigated at both sites through Sr-87/Sr-86 versus Nd-143/Nd-144 isotopic tracers, following the previous studies of Grousset et al. [Earth Planet. Sci. Lett. 111 (1992) 175] and Basile et al. [Earth Planet. Sci. Lett. 146 (1997) 573]. The new data and the existing ones allow to define the isotopic fields for dust at the two Antarctic sites that are almost identical and restricted into the 0.708</t>
  </si>
  <si>
    <t>Lab Glaciol &amp; Geophys Environm, 54 Rue Moliere,BP96, F-38402 St Martin Dheres, France; Univ Siena, Dept Geol Sci, I-53100 Siena, Italy; Univ Milano Bicocca, Dipartimento Sci Ambientali, I-20126 Milan, Italy; Europole Mediterraneen Arbois, CNRS, UMR 6635, CEREGE, F-13545 Aix En Provence 4, France; IRD, F-97492 St Clotilde, Reunion, France; Australian Natl Univ, Dept Geol, Canberra, ACT 0200, Australia; Max Planck Inst Chem, Cosmochem Dept, D-55020 Mainz, Germany; Univ Bordeaux 1, CNRS, UMR 5805, EPOC, F-33405 Talence, France</t>
  </si>
  <si>
    <t>University of Siena; University of Milano-Bicocca; Universite PSL; College de France; Aix-Marseille Universite; Centre National de la Recherche Scientifique (CNRS); Institut de Recherche pour le Developpement (IRD); Institut de Recherche pour le Developpement (IRD); Australian National University; Max Planck Society; Centre National de la Recherche Scientifique (CNRS); CNRS - National Institute for Earth Sciences &amp; Astronomy (INSU); Universite de Bordeaux</t>
  </si>
  <si>
    <t>Lab Glaciol &amp; Geophys Environm, 54 Rue Moliere,BP96, F-38402 St Martin Dheres, France.</t>
  </si>
  <si>
    <t>bdelmonte@nest.it; Isabelle.Basile@univ-reunion.fr; petit@glaciog.ujf-grenoble.fr; valter.maggi@unimib.it; Marie.Revel@ujf-grenoble.fr; jagoutz@mailserver.mpch-mainz.mpg.de; grousset@epoc.u-bordeaux.fr</t>
  </si>
  <si>
    <t>Delmonte, Barbara/L-2555-2015; Maggi, Valter/E-1878-2014; Maggi, Valter/AAX-5728-2020; Basile, Isabelle IBD/B-4173-2010</t>
  </si>
  <si>
    <t>Delmonte, Barbara/0000-0002-9074-2061; Maggi, Valter/0000-0001-6287-1213;</t>
  </si>
  <si>
    <t>0012-8252</t>
  </si>
  <si>
    <t>1872-6828</t>
  </si>
  <si>
    <t>EARTH-SCI REV</t>
  </si>
  <si>
    <t>Earth-Sci. Rev.</t>
  </si>
  <si>
    <t>10.1016/j.earscirev.2003.10.004</t>
  </si>
  <si>
    <t>879DN</t>
  </si>
  <si>
    <t>WOS:000225696700002</t>
  </si>
  <si>
    <t>Barker, PF; Thomas, E</t>
  </si>
  <si>
    <t>Origin, signature and palaeoclimatic influence of the Antarctic Circumpolar Current</t>
  </si>
  <si>
    <t>Antarctic Circumpolar Current; ACC; palaeoclimate; palaeocirculation; oceanic fronts; DSDP; ODP</t>
  </si>
  <si>
    <t>CENOZOIC EVOLUTION; SOUTHERN-OCEAN; HEAT-TRANSPORT; DRAKE PASSAGE; POLAR FRONT; HISTORY; CIRCULATION; EOCENE; CLIMATE; ICE</t>
  </si>
  <si>
    <t>The Antarctic Circumpolar Current (ACC) is today the strongest current in the world's ocean, with a significant influence on global climate. Its assumed history and influence on palaeoclimate, while almost certainly equally profound, are here called into question. In this paper, we review 30 years of accumulated data, interpretation, and speculation about the ACC, deriving mainly from DSDP and ODP drilling in the Southern Ocean. For most of this time, a conventional view of ACC development, signature and influence has held sway among palaeoceanographers and marine geologists. In this view, the ACC began at about 34 Ma, close to the Eocene-Oligocene boundary, the time of onset of significant Antarctic glaciation and the time of creation of a deep-water gap (Tasmanian Seaway) between Australia and Antarctica as the South Tasman Rise separated from North Victoria Land. This is the smoking gun of synchroneity. The Southern Ocean sediment record shows a latest Eocene development and subsequent geographic expansion of a siliceous biofacies, its northern limit taken to indicate the palaeoposition of the ACC axis. In addition, the ACC was considered to have caused Antarctic glaciation by isolating the continent within a cold-water annulus, reducing north-south heat transport. A different (and later) date for Antarctic-South American opening (Drake Passage) was proposed, but the timing of ACC onset there was disputed, and the simple story survived. Recent developments, however, call it into question. Modem physical oceanography shows that all or most of present-day ACC transport is confined to narrow jets within deep-reaching circumpolar fronts, and numerical modelling has suggested that a steady reduction in greenhouse gas concentration through the Cenozoic could cause Antarctic glaciation, with or without a contribution from ocean circulation change. The rapidity of Antarctic glacial onset at the Eocene-Oligocene boundary and coeval creation of a deep-water gap south of Tasmania both survive but, in light of the new information, the presence of a siliceous biofacies cannot be claimed as evidence of the existence of a continuous, deep-reaching oceanic front and therefore of an ACC, and the possibility arises that cool and cold sea-surface temperatures were effects of Antarctic glaciation rather than evidence of a major contributor to its cause. In considering future work, we emphasise the importance of additional information from ancillary fields-better definition of the necessary and sufficient properties of oceanic fronts, additional determinations of Cenozoic atmospheric pCO(2) and further developments in models of Antarctic glaciation-but also suggest the way forward in marine geology. Our knowledge of the development and palaeoclimatic significance of the ACC will be best served by grain-size studies of bottom current strength at selected locations, and geochemical or mineralogical studies of clays and IRD as a way of examining provenance and therefore surface and bottom current directions and the existence of interocean connections. Studies of biogenic assemblages within the same sediments may be able to recover a value for the many such studies undertaken in the past and interpreted, probably erroneously, as evidence for an ACC. Mainly in view of the timing uncertainties, we propose the region south of South America as the best initial focus of future investigation. (C) 2003 Published by Elsevier B.V.</t>
  </si>
  <si>
    <t>Wesleyan Univ, Dept Earth &amp; Environm Sci, Middletown, CT 06457 USA; Yale Univ, Dept Geol &amp; Geophys, Ctr Study Global Change, New Haven, CT 06520 USA</t>
  </si>
  <si>
    <t>Wesleyan University; Yale University</t>
  </si>
  <si>
    <t>25 Church St, Sandy SG19 3AF, Beds, England.</t>
  </si>
  <si>
    <t>pfbarker@tiscali.co.uk</t>
  </si>
  <si>
    <t>Thomas, Ellen/JVO-1734-2024</t>
  </si>
  <si>
    <t>Thomas, Ellen/0000-0002-7141-9904</t>
  </si>
  <si>
    <t>10.1016/j.earscirev.2003.10.003</t>
  </si>
  <si>
    <t>WOS:000225696700004</t>
  </si>
  <si>
    <t>Ciannelli, L; Robson, BW; Francis, RC; Aydin, K; Brodeur, RD</t>
  </si>
  <si>
    <t>Boundaries of open marine ecosystems: an application to the Pribilof Archipelago, southeast Bering Sea</t>
  </si>
  <si>
    <t>ECOLOGICAL APPLICATIONS</t>
  </si>
  <si>
    <t>central place foraging; ecosystem boundary; ecosystem modeling; fur seal; mass balance; Pribilof Islands</t>
  </si>
  <si>
    <t>ANTARCTIC FUR SEALS; CALLORHINUS-URSINUS; MANAGEMENT; FISHERIES; ISLANDS; FOOD; DISTRIBUTIONS; COMPETITION; DISPERSAL; PREDATOR</t>
  </si>
  <si>
    <t>We applied ecosystem energetics and foraging theory to characterize the spatial extent of the Pribilof Archipelago ecosystem, located in the southeast Bering Sea. From an energetic perspective, an ecosystem is an area within which the predatory demand is in balance with the prey production. From a foraging perspective, an ecosystem boundary should- at least include the foraging range of the species that live within it for a portion of their life cycle. The Pribilof Islands are densely populated by species that. adopt a central place foraging strategy. Foraging theory predicts that the area traveled by central place foragers (CPF) should extend far enough so that their predatory demands are in balance with prey production. Thus, the spatial extent of an ecosystem, as defined by energetics and the foraging range of constituent species, will require a similar energy balance, and independent assessments should yield similar results. In this study, we compared the area of maximum energy balance, estimated with a food web model during the decade 1990-2000, with estimates of the foraging range of northern fur seals (the farthest traveling CPF in the Pribilof Islands community) obtained from the literature. From the food web simulations, we estimated that a circle of 100 nautical miles (NM), or 185.2 km, radius encloses the area of highest energy balance and lowest biomass import and that it represents a switch from a piscivorous-dominated (smaller areas) to a zooplanktivorous-dominated (larger areas) community. The distance from the breeding site to locations recorded at sea for lactating female fur seals, during the years 1995-1996, ranged from 5.0 to 172.2 NM (9.3-318.9 km), with a median of 97 NM (179.6 km). Thus, similar to50% of the locations recorded for lactating fur seals occurred beyond the area of energy balance estimated by the model, indicating that additional factors can motivate their foraging extent. We propose that energetic constraints set the minimum extent of the Pribilof ecosystem, while the foraging distance of fur seals may indicate the maximum extent. In discussing these results, we highlight the limitations of current definitions of the spatial extent in ecosystems, when related to open oceanic environments, and discuss viable alternatives to characterize boundaries of aquatic systems that are not physically separated from adjacent areas. We believe that these arguments, though controversial, are very timely given the increased emphasis currently placed on the management and protection of entire marine ecosystems.</t>
  </si>
  <si>
    <t>Univ Washington, Sch Aquat &amp; Fishery Sci, Seattle, WA 98195 USA; NOAA, Natl Marine Mammal Lab, Alaska Fisheries Sci Ctr, Seattle, WA 98115 USA; Hatfield Marine Sci Ctr, NW Fisheries Sci Ctr, Newport, OR 97365 USA</t>
  </si>
  <si>
    <t>University of Washington; University of Washington Seattle; National Oceanic Atmospheric Admin (NOAA) - USA; National Oceanic Atmospheric Admin (NOAA) - USA</t>
  </si>
  <si>
    <t>Univ Oslo, Dept Biol, Ctr Ecol &amp; Evolutionary Synth, POB 1050, N-0316 Oslo, Norway.</t>
  </si>
  <si>
    <t>Lorenzo.Ciannelli@noaa.gov</t>
  </si>
  <si>
    <t>Brodeur, Richard/0000-0002-6629-5564</t>
  </si>
  <si>
    <t>1051-0761</t>
  </si>
  <si>
    <t>1939-5582</t>
  </si>
  <si>
    <t>ECOL APPL</t>
  </si>
  <si>
    <t>Ecol. Appl.</t>
  </si>
  <si>
    <t>10.1890/03-5016</t>
  </si>
  <si>
    <t>831DS</t>
  </si>
  <si>
    <t>WOS:000222174000025</t>
  </si>
  <si>
    <t>Vitagliano, L; Bonomi, G; Riccio, A; di Prisco, G; Smulevich, G; Mazzarella, L</t>
  </si>
  <si>
    <t>The oxidation process of Antarctic fish hemoglobins (vol 271, pg 1651, 2004)</t>
  </si>
  <si>
    <t>EUROPEAN JOURNAL OF BIOCHEMISTRY</t>
  </si>
  <si>
    <t>Correction</t>
  </si>
  <si>
    <t>smulevich, giulietta/A-6510-2008</t>
  </si>
  <si>
    <t>0014-2956</t>
  </si>
  <si>
    <t>EUR J BIOCHEM</t>
  </si>
  <si>
    <t>Eur. J. Biochem.</t>
  </si>
  <si>
    <t>822IV</t>
  </si>
  <si>
    <t>WOS:000221533600030</t>
  </si>
  <si>
    <t>Miyamoto, Y; Sakai, T; Furusawa, M; Naito, Y</t>
  </si>
  <si>
    <t>Development of high-frequency micro echo sounder</t>
  </si>
  <si>
    <t>FISHERIES SCIENCE</t>
  </si>
  <si>
    <t>aquatic animals; echo sounder; high frequency; krill; micro data logger</t>
  </si>
  <si>
    <t>ACOUSTIC SCATTERING; TARGET STRENGTHS; ANTARCTIC KRILL; ZOOPLANKTON; EQUATION; OCEAN</t>
  </si>
  <si>
    <t>The authors have developed a micro echo sounder operating at a frequency as high as 1 MHz, which can be attached to aquatic animals in combination with a depth and temperature sensor to obtain information on the animal's prey as well as its behavior. The performance of the sounder was evaluated in an experimental tank and its detection range was estimated to confirm its effectiveness. The beam width is 5.9degrees and the maximum detection distance is estimated as 34 m when the target strength of an object animal is -50 dB.</t>
  </si>
  <si>
    <t>Tokyo Univ Marine Sci &amp; Technol, Fac Marine Sci, Dept Ocean Sci, Minato Ku, Tokyo 1088477, Japan; Natl Inst Polar Res, Itabashi Ku, Tokyo 1738515, Japan</t>
  </si>
  <si>
    <t>Tokyo University of Marine Science &amp; Technology; Research Organization of Information &amp; Systems (ROIS); National Institute of Polar Research (NIPR) - Japan</t>
  </si>
  <si>
    <t>Miyamoto, Y (corresponding author), Tokyo Univ Marine Sci &amp; Technol, Fac Marine Sci, Dept Ocean Sci, Minato Ku, Tokyo 1088477, Japan.</t>
  </si>
  <si>
    <t>miyamoto@s.kaiyodai.ac.jp</t>
  </si>
  <si>
    <t>MIYAMOTO, Yoshinori/O-1920-2014</t>
  </si>
  <si>
    <t>JAPANESE SOC FISHERIES SCIENCE</t>
  </si>
  <si>
    <t>C/O TOKYO UNIV FISHERIES, KONAN 4, MINATO, TOKYO, 108-8477, JAPAN</t>
  </si>
  <si>
    <t>0919-9268</t>
  </si>
  <si>
    <t>FISHERIES SCI</t>
  </si>
  <si>
    <t>Fish. Sci.</t>
  </si>
  <si>
    <t>10.1111/j.1444-2906.2004.00817.x</t>
  </si>
  <si>
    <t>Fisheries</t>
  </si>
  <si>
    <t>838WA</t>
  </si>
  <si>
    <t>WOS:000222742800005</t>
  </si>
  <si>
    <t>Laybourn-Parry, J; Henshaw, T; Jones, DJ; Quayle, W</t>
  </si>
  <si>
    <t>Bacterioplankton production in freshwater Antarctic lakes</t>
  </si>
  <si>
    <t>Antarctica; bacterioplankton; freshwater; lakes; production</t>
  </si>
  <si>
    <t>FREE AMINO-ACIDS; DISSOLVED ORGANIC-CARBON; PLANKTONIC BACTERIA; MARINE SNOW; MATTER; DYNAMICS; PHOSPHORUS; RADIATION; CONSTANCE; PATTERNS</t>
  </si>
  <si>
    <t>1. Bacterioplankton production was measured in the water columns of two ultra-oligotrophic, freshwater Antarctic lakes (Crooked Lake and Lake Druzhby) during an annual cycle. In both lakes bacterial production, measured by the incorporation of [H-3] thymidine, continued in winter and showed a cycle over the year. The range of production was between 0 and 479 ng C L-1 h(-1) in Crooked Lake and 0-354 ng L-1 h(-1) in Lake Druzhby. 2. Abundance and mean cell volume both varied, producing marked changes in biomass during the year, with highest biomass occurring in the winter and early spring. Biomass showed similar seasonal trends in both lakes. 3. For most of the year inorganic forms of nitrogen and phosphorus were detectable in the water columns of the lakes and were unlikely to have limited bacterial production. Dissolved organic carbon (DOC) was below 3000 mug L-1. Dissolved amino acids and carbohydrates contributed 5-25% of the DOC pool in Crooked Lake and 5-64% in Lake Druzhby. Dissolved carbohydrates were consistently low, suggesting that this may have been the preferred carbon substrate for bacterioplankton. 4. Aggregate associated bacteria had higher mean cell volume, abundances and production than freely suspended bacteria in Lake Druzhby, while in Crooked Lake aggregate associated bacteria consistently had higher mean cell volumes than free bacteria, but abundance and production were on occasion higher in free bacteria compared with aggregate associated communities. 5. The data indicated that production is limited by continuous low temperatures and the limited availability of suitable DOC substrate. However, the bacterioplankton functions year round, responding to factors other than temperature.</t>
  </si>
  <si>
    <t>Univ Nottingham, Sch Biosci, Nottingham NG7 2RD, England; British Antarctic Survey, Cambridge CB3 0ET, England; Univ Wales, Sch Agr &amp; Forest Sci, Bangor LLS7 20W, Gwynedd, Wales</t>
  </si>
  <si>
    <t>University of Nottingham; UK Research &amp; Innovation (UKRI); Natural Environment Research Council (NERC); NERC British Antarctic Survey; Bangor University</t>
  </si>
  <si>
    <t>Laybourn-Parry, J (corresponding author), Univ Nottingham, Sch Biosci, Univ Pk, Nottingham NG7 2RD, England.</t>
  </si>
  <si>
    <t>j.laybourn-parry@nottingham.ac.uk</t>
  </si>
  <si>
    <t>QUAYLE, WENDY C/Q-3719-2016; jones, davey/C-7411-2011; Jones, Davey/AAD-6037-2020</t>
  </si>
  <si>
    <t>QUAYLE, WENDY C/0000-0003-0622-1915; jones, davey/0000-0002-1482-4209;</t>
  </si>
  <si>
    <t>10.1111/j.1365-2427.2004.01221.x</t>
  </si>
  <si>
    <t>821VV</t>
  </si>
  <si>
    <t>WOS:000221492000005</t>
  </si>
  <si>
    <t>Hanan, B; Blichert-Toft, J; Pyle, D; Christie, D</t>
  </si>
  <si>
    <t>Contrasting origins of the upper mantle MORB source revealed by Hf and Pb isotopes from the Australian-Antarctic Discordance</t>
  </si>
  <si>
    <t>14th Annual V M Goldschmidt Conference</t>
  </si>
  <si>
    <t>JUN 05-11, 2004</t>
  </si>
  <si>
    <t>Univ Copenhagen, Copenhagen, DENMARK</t>
  </si>
  <si>
    <t>Univ Copenhagen</t>
  </si>
  <si>
    <t>San Diego State Univ, San Diego, CA 92182 USA; Ecole Normale Super Lyon, F-69364 Lyon, France; Univ Hawaii, Honolulu, HI 96822 USA; Oregon State Univ, Corvallis, OR 97331 USA</t>
  </si>
  <si>
    <t>California State University System; San Diego State University; Ecole Normale Superieure de Lyon (ENS de LYON); University of Hawaii System; Oregon State University</t>
  </si>
  <si>
    <t>Barry.Hanan@sdsu.edu; Janne.Blichert-Toft@ens-lyon.fr; pyled@hawaii.edu; dchristie@coas.oregonstate.edu</t>
  </si>
  <si>
    <t>Blichert-Toft, Janne/C-8280-2012</t>
  </si>
  <si>
    <t>A553</t>
  </si>
  <si>
    <t>827TH</t>
  </si>
  <si>
    <t>WOS:000221923400972</t>
  </si>
  <si>
    <t>Heumann, A; Elliott, T; Regelous, M; Kirstein, L; Leat, P</t>
  </si>
  <si>
    <t>U-Th-Pa disequilibria constraints on the subduction processes beneath the South Sandwich island arc system</t>
  </si>
  <si>
    <t>GZG Geochem, D-37077 Gottingen, Germany; British Antarctic Survey, Cambridge CB3 0ET, England</t>
  </si>
  <si>
    <t>aheuman@gwdg.de; Tim.Elliott@bristol.ac.uk; M.Regelous@bristol.ac.uk; Linda.Kirstein@glg.ed.ac.uk; ptle@bas.ac.uk</t>
  </si>
  <si>
    <t>A613</t>
  </si>
  <si>
    <t>WOS:000221923401086</t>
  </si>
  <si>
    <t>Migdisova, NA; Sushchevskaya, NM</t>
  </si>
  <si>
    <t>Variations in the composition of clinopyroxene from the basalts of various geodynamic settings of the Antarctic region</t>
  </si>
  <si>
    <t>Russian Acad Sci, VI Vernadskii Inst Geochem &amp; Analyt Chem, Moscow 119991, Russia</t>
  </si>
  <si>
    <t>Russian Academy of Sciences; Vernadsky Institute of Geochemistry &amp; Analytical Chemistry</t>
  </si>
  <si>
    <t>nadyas@geokhi.ru</t>
  </si>
  <si>
    <t>Мигдисова, Наталья/A-4495-2017</t>
  </si>
  <si>
    <t>A586</t>
  </si>
  <si>
    <t>WOS:000221923401037</t>
  </si>
  <si>
    <t>Riley, TR; Leat, PT; Curtis, ML; Millar, IL; Fazel, A</t>
  </si>
  <si>
    <t>Early-Middle Jurassic mafic dykes from western Dronning Maud Land (Antarctica): Identifying mantle sources in the Karoo large igneous province</t>
  </si>
  <si>
    <t>British Antarctic Survey, Cambridge CB3 0ET, England; Open Univ, Dept Earth Sci, Milton Keynes MK7 6AA, Bucks, England</t>
  </si>
  <si>
    <t>UK Research &amp; Innovation (UKRI); Natural Environment Research Council (NERC); NERC British Antarctic Survey; Open University - UK</t>
  </si>
  <si>
    <t>t.riley@bas.ac.uk; p.leat@bas.ac.uk; m.curtis@bas.ac.uk; ilm@bas.ac.uk; A.Fazel@open.ac.uk</t>
  </si>
  <si>
    <t>Millar, Ian L/F-1541-2010; Curtis, Mike/HKV-6176-2023</t>
  </si>
  <si>
    <t>A576</t>
  </si>
  <si>
    <t>WOS:000221923401016</t>
  </si>
  <si>
    <t>Srinivasan, G; Whitehouse, MJ; Weber, I; Yamaguchi, A</t>
  </si>
  <si>
    <t>U-Pb and Hf-W chronometry of zircons from eucrite A881467</t>
  </si>
  <si>
    <t>Univ Toronto, Dept Geol, Toronto, ON, Canada; Swedish Museum Nat Hist, Lab Isotope Geol, SE-10405 Stockholm, Sweden; Univ Munster, Dept Planetol, D-4400 Munster, Germany; Natl Inst Polar Res, Antarctic Meteorite Res Ctr, Tokyo 1738515, Japan</t>
  </si>
  <si>
    <t>University of Toronto; Swedish Museum of Natural History; University of Munster; Research Organization of Information &amp; Systems (ROIS); National Institute of Polar Research (NIPR) - Japan</t>
  </si>
  <si>
    <t>Whitehouse, Martin J/E-1425-2013</t>
  </si>
  <si>
    <t>A728</t>
  </si>
  <si>
    <t>WOS:000221923401308</t>
  </si>
  <si>
    <t>Tanaka, T; Minami, M; Shibata, S; Yanai, K; Shiraishi, K</t>
  </si>
  <si>
    <t>Precambrian Antarctic Meteorite Phantasia</t>
  </si>
  <si>
    <t>Nagoya Univ, Dept Earth &amp; Environm Sci, Nagoya, Aichi 4648602, Japan; Iwate Univ, Dept Civil &amp; Environm Engn, Morioka, Iwate, Japan; Natl Inst Polar Res, Tokyo 173, Japan</t>
  </si>
  <si>
    <t>Nagoya University; Iwate University; Research Organization of Information &amp; Systems (ROIS); National Institute of Polar Research (NIPR) - Japan</t>
  </si>
  <si>
    <t>tanaka@eps.nagoya-u.ac.jp</t>
  </si>
  <si>
    <t>A769</t>
  </si>
  <si>
    <t>WOS:000221923401386</t>
  </si>
  <si>
    <t>Tonarini, S; Leeman, WP; Leat, PT</t>
  </si>
  <si>
    <t>Boron isotope systematics in South Sandwich island arc</t>
  </si>
  <si>
    <t>CNR, Ist Geosci &amp; Georisorse, I-56100 Pisa, Italy; Rice Univ, Dept Earth Sci, Houston, TX 77251 USA; British Antarctic Survey, Cambridge CB3 0ET, England</t>
  </si>
  <si>
    <t>Consiglio Nazionale delle Ricerche (CNR); Istituto di Geoscienze e Georisorse (IGG-CNR); Rice University; UK Research &amp; Innovation (UKRI); Natural Environment Research Council (NERC); NERC British Antarctic Survey</t>
  </si>
  <si>
    <t>s.tonarini@igg.cnr.it; leeman@rice.edu; PTLE@bas.ac.uk</t>
  </si>
  <si>
    <t>A599</t>
  </si>
  <si>
    <t>WOS:000221923401058</t>
  </si>
  <si>
    <t>Ng, F; Conway, H</t>
  </si>
  <si>
    <t>Fast-flow signature in the stagnated Kamb Ice Stream, West Antarctica</t>
  </si>
  <si>
    <t>West Antarctica; ice streams; radar; mass balance</t>
  </si>
  <si>
    <t>RADAR; TRIBUTARIES; BEHAVIOR; BALANCE</t>
  </si>
  <si>
    <t>Among the major ice streams that drain West Antarctica, Kamb Ice Stream (formerly called Ice Stream Q is unique in that it stagnated similar to150 yr ago, but its former fast-flow conditions are virtually unknown. Here we present surface-based radar profiles of the ice stream's undulating internal stratigraphy, which records these conditions. Our analysis of the profiles indicates that prestagnation flow velocities, averaged over a period &lt;740 yr, exceeded 350 m(.)yr(-1) in the trunk of the ice stream. This velocity constraint would be lower if the ice had been thickening (higher if thinning), but suggests mass loss from the ice-stream catchment that is of sufficient magnitude to reverse the gain estimated for today's Siple Coast region. Analysis of other ice streams would allow comparison of velocities over millennial time scales with observations of present-day velocities, useful for evaluating how West Antarctic ice drainage has evolved.</t>
  </si>
  <si>
    <t>MIT, Dept Earth Atmospher &amp; Planetary Sci, Cambridge, MA 02139 USA; Univ Washington, Dept Earth &amp; Space Sci, Seattle, WA 98195 USA</t>
  </si>
  <si>
    <t>Massachusetts Institute of Technology (MIT); University of Washington; University of Washington Seattle</t>
  </si>
  <si>
    <t>MIT, Dept Earth Atmospher &amp; Planetary Sci, 77 Massachusetts Ave, Cambridge, MA 02139 USA.</t>
  </si>
  <si>
    <t>Ng, Felix/0000-0001-6352-0351; Conway, Howard/0000-0003-4634-3474</t>
  </si>
  <si>
    <t>10.1130/g20317.1</t>
  </si>
  <si>
    <t>826SS</t>
  </si>
  <si>
    <t>WOS:000221849500005</t>
  </si>
  <si>
    <t>Cockell, CS; Raven, JA</t>
  </si>
  <si>
    <t>Zones of photosynthetic potential on Mars and the early Earth</t>
  </si>
  <si>
    <t>ICARUS</t>
  </si>
  <si>
    <t>exobiology; solar radiation; extrasolar planets; impact processes; Mars; atmosphere</t>
  </si>
  <si>
    <t>ULTRAVIOLET-RADIATION; PHAEODACTYLUM-TRICORNUTUM; BACILLUS-SUBTILIS; MARTIAN SOIL; SNOW ALGAE; LIGHT; UV; ENVIRONMENT; GROWTH; TRANSMISSION</t>
  </si>
  <si>
    <t>Ultraviolet radiation is more damaging on the surface of Mars than on Earth because of the lack of an ozone shield. We investigated micro-habitats in which UV radiation could be reduced to levels similar to those found on the surface of present-day Earth, but where light in the photosynthetically active region (400-700 nm) would be above the minimum required for photosynthesis. We used a simple radiative transfer model to study four micro-habitats in which such a theoretical Martian Earth-like Photosynthetic Zone (MEPZ) might exist. A favorable radiation environment was found in martian soils containing iron, encrustations of halite, polar snows and crystalline rocks shocked by asteroid or comet impacts, all of which are known habitats for phototrophs on Earth. Although liquid water and nutrients are also required for life, micro-environments with favorable radiation environments for phototrophic life exist in a diversity of materials on Mars. This finding suggests that the lack of an ozone shield is not in itself a limit to the biogeographically widespread colonization of land by photosynthetic organisms, even if there are no other UV-absorbers in the atmosphere apart from carbon dioxide. When applied to the Archean Earth, these data suggest that even with the worst-case assumptions about the UV radiation environment, early land masses could have been colonized by primitive photosynthetic organisms. Such zones could similarly exist on anoxic extra-solar planets lacking ozone shields. (C) 2004 Elsevier Inc. All rights reserved.</t>
  </si>
  <si>
    <t>British Antarctic Survey, NERC, Cambridge CB3 0ET, England; Univ Dundee, Div Environm &amp; Appl Biol, SCRI, Dundee DD2 5DA, Scotland</t>
  </si>
  <si>
    <t>UK Research &amp; Innovation (UKRI); Natural Environment Research Council (NERC); NERC British Antarctic Survey; University of Dundee; James Hutton Institute</t>
  </si>
  <si>
    <t>Raven, John/JFS-3447-2023</t>
  </si>
  <si>
    <t>0019-1035</t>
  </si>
  <si>
    <t>1090-2643</t>
  </si>
  <si>
    <t>Icarus</t>
  </si>
  <si>
    <t>10.1016/j.icarus.2003.12.024</t>
  </si>
  <si>
    <t>823IM</t>
  </si>
  <si>
    <t>WOS:000221604300002</t>
  </si>
  <si>
    <t>Hofmann, EE; Haskell, AGE; Klinck, JM; Lascara, CM</t>
  </si>
  <si>
    <t>Lagrangian modelling studies of Antarctic krill (Euphausia superba) swarm formation</t>
  </si>
  <si>
    <t>3rd International Zooplankton Production Symposium</t>
  </si>
  <si>
    <t>MAY 20-23, 2003</t>
  </si>
  <si>
    <t>Gijon, SPAIN</t>
  </si>
  <si>
    <t>antarctic krill; krill swarms; Lagrangian models</t>
  </si>
  <si>
    <t>BEHAVIOR; ICE; SEA; ABUNDANCE; AGGREGATION; CRUSTACEA; DYNAMICS; SOUTH; ZONE</t>
  </si>
  <si>
    <t>A two-dimensional Lagrangian particle model was developed to examine the spatial distribution of Antarctic krill (Euphausia superba). The time-dependent location of particles, which represent krill individuals, is determined by random diffusion, foraging activity, and movement induced by the presence of neighbours. Foraging activity is based on prescribed food conditions and is such that krill swim slower and turn more frequently in areas of high food concentration. The presence or absence of neighbours either disperses krill, if the local concentrations become too dense, or coalesces krill, if concentrations become too dilute, respectively. Predation on krill is included and affects swarm characteristics by removing individuals. Sensitivity studies indicate that the rate of krill swarm formation and the total number of swarms formed are determined primarily by foraging response and nearest neighbour sensing distance. Simulations using food distributions that are representative of those encountered at boundaries, such as fronts, mesoscale eddies, or the sea ice edge, show that foraging activity can produce rapid swarm formation. Results from other krill swarm models show that attraction between individuals is the primary mechanism producing krill swarms. However, the parameterizations for krill interactions used in those models and that used in this model differ, thereby implying different biological dynamics. Thus, parameterization of the basic interactions it) krill swarm models remains to be defined. (C) 2004 International Council for the Exploration of the Sea. Published by Elsevier Ltd. All rights reserved.</t>
  </si>
  <si>
    <t>Old Dominion Univ, Ctr Coastal Phys Oceanog, Norfolk, VA 23529 USA; Res Syst Inc, Boulder, CO 80301 USA</t>
  </si>
  <si>
    <t>Old Dominion University</t>
  </si>
  <si>
    <t>Hofmann, EE (corresponding author), Old Dominion Univ, Ctr Coastal Phys Oceanog, Crittenton Hall, Norfolk, VA 23529 USA.</t>
  </si>
  <si>
    <t>Klinck, John/0000-0003-4312-5201</t>
  </si>
  <si>
    <t>10.1016/j.icesjms.2004.03.028</t>
  </si>
  <si>
    <t>833FS</t>
  </si>
  <si>
    <t>WOS:000222322500019</t>
  </si>
  <si>
    <t>Cuzin-Roudy, J; Tarling, GA; Strömberg, JO</t>
  </si>
  <si>
    <t>Life cycle strategies of Northern krill (Meganyctiphanes norvegica) for regulating growth, moult, and reproductive activity in various environments:: the case of fjordic populations</t>
  </si>
  <si>
    <t>adaptive strategies; adult development; egg production; environmental factors; meganyctiphanes norvegica</t>
  </si>
  <si>
    <t>VERTICAL MIGRATION BEHAVIOR; EUPHAUSIA-SUPERBA; ANTARCTIC KRILL; OVARIAN DEVELOPMENT; HYPOXIC WATERS; LIGURIAN SEA; CRUSTACEA; DYNAMICS; PREDATION; ATLANTIC</t>
  </si>
  <si>
    <t>Adaptive strategies of two fjord populations of Northern krill (Meganyctiphanes norvegica Sars) were studied and compared with other populations from different climatic and oceanic conditions. The Gullmarsfjord (West Sweden) and the Clyde Sea (West Scotland) resident populations followed the same basic pattern of development as the Kattegat (between Denmark and Sweden) and the Ligurian Sea (Northwest Mediterranean) populations, but the fjord krill reached a comparatively larger body size during their second year of life. The positive relationship between body size and fecundity means that fjord populations are potentially more productive than those of the open sea. High rates of moulting and spawning activity were limited to the spring and summer despite the fact that trophic conditions still seemed favourable in early autumn. We show here that, in autumn, the adult moult cycle became longer and growth stopped, large 2-year-old krill disappeared from the population and ovarian development was arrested. Resources already accumulated ill the oocytes (glycoproteic and lipid yolk) were recovered by oosorption and ovaries regressed for a winter rest. Autumn trophic conditions were still favourable in both sites, especially in terms of copepod abundance. However, the phytoplankton community changed from a dominance of diatoms in early season to dinoflagellates in late summer. We suggest that these changes triggered the autumn arrest of krill production. (C) 2004 International Council for the Exploration of the Sea. Published by Elsevier Ltd. All rights reserved.</t>
  </si>
  <si>
    <t>UPMC, INSU, CNRS,UMR 7093, Observ Oceanol, F-06230 Villefranche Sur Mer, France; British Antarctic Survey, NERC, Cambridge CB3 0ET, England; Kirstineberg Marine Res Stn, S-45034 Fiskebackskil, Sweden</t>
  </si>
  <si>
    <t>Sorbonne Universite; Centre National de la Recherche Scientifique (CNRS); CNRS - National Institute for Earth Sciences &amp; Astronomy (INSU); UK Research &amp; Innovation (UKRI); Natural Environment Research Council (NERC); NERC British Antarctic Survey</t>
  </si>
  <si>
    <t>Cuzin-Roudy, J (corresponding author), UPMC, INSU, CNRS,UMR 7093, Observ Oceanol, F-06230 Villefranche Sur Mer, France.</t>
  </si>
  <si>
    <t>10.1016/j.icesjms.2004.03.008</t>
  </si>
  <si>
    <t>WOS:000222322500028</t>
  </si>
  <si>
    <t>Cockell, CS</t>
  </si>
  <si>
    <t>The rights of microbes</t>
  </si>
  <si>
    <t>INTERDISCIPLINARY SCIENCE REVIEWS</t>
  </si>
  <si>
    <t>Over the last forty years, the circle of organisms thought worthy of inclusion within an ethical framework has expanded markedly, in large part in response to Aldo Leopold's 'land ethic'. However, there are still clear limits to the forms of life we are willing to include in such a framework. In this paper I suggest that a strong case can be made for microorganisms to be accorded special ethical status, as they represent the base of all food chains and of the major biogeochemical cycles. Without lions there is life, but without microorganisms there can be no higher life forms. The notion of protecting individual microorganisms may be absurd, but microbial communities and ecosystems nevertheless deserve protection, and offer an example of the merit of a population based approach to environmental ethics. I argue that humankind should assume the position of a moral agent to the microbial world, by formally recognising the intrinsic worth of microorganisms, as well as their utilitarian value to humans and to the rest of life on earth. The practical implications of such an ethic are discussed.</t>
  </si>
  <si>
    <t>NERC [bas010008] Funding Source: UKRI</t>
  </si>
  <si>
    <t>NERC(UK Research &amp; Innovation (UKRI)Natural Environment Research Council (NERC))</t>
  </si>
  <si>
    <t>ROUTLEDGE JOURNALS, TAYLOR &amp; FRANCIS LTD</t>
  </si>
  <si>
    <t>2-4 PARK SQUARE, MILTON PARK, ABINGDON OX14 4RN, OXON, ENGLAND</t>
  </si>
  <si>
    <t>0308-0188</t>
  </si>
  <si>
    <t>1743-2790</t>
  </si>
  <si>
    <t>INTERDISCIPL SCI REV</t>
  </si>
  <si>
    <t>Interdiscip. Sci. Rev.</t>
  </si>
  <si>
    <t>10.1179/030801804225012635</t>
  </si>
  <si>
    <t>Multidisciplinary Sciences; Social Sciences, Interdisciplinary</t>
  </si>
  <si>
    <t>Science &amp; Technology - Other Topics; Social Sciences - Other Topics</t>
  </si>
  <si>
    <t>846IB</t>
  </si>
  <si>
    <t>WOS:000223308100005</t>
  </si>
  <si>
    <t>Osborne, CP; Royer, DL; Beerling, DJ</t>
  </si>
  <si>
    <t>Adaptive role of leaf habit in extinct polar forests</t>
  </si>
  <si>
    <t>INTERNATIONAL FORESTRY REVIEW</t>
  </si>
  <si>
    <t>arctic; antarctic; leaf habit; deciduous; respiration; fossil plants</t>
  </si>
  <si>
    <t>HIGH CO2; TERTIARY; ENVIRONMENT; HEMISPHERE; GROWTH</t>
  </si>
  <si>
    <t>Fossils provide clear evidence of forests covering the Arctic and Antarctic throughout most of the past 250 million years. Ancient polar forests experienced the extreme seasonality of high latitude daylength, but flourished in a warm, temperate climate. For the past 50 years, it has been argued that deciduous trees in these ecosystems conserved carbon by avoiding the respiration required to sustain an evergreen leaf canopy during the continuous darkness of a warm winter. However, only recently have experiments been designed to test this argument by measuring the winter carbon balance of 'living fossil' trees in a simulated warm polar climate. Results of these experiments show clearly that the carbon cost of annually shedding leaves in deciduous trees greatly exceeds the cost of respiration for an evergreen canopy. Simulations with a mathematical model support this finding for mature forests growing across a wide latitudinal range, ending a century-long debate concerning the adaptive role of leaf habit in extinct polar forests.</t>
  </si>
  <si>
    <t>Univ Sheffield, Dept Anim &amp; Plant Sci, Sheffield S10 2TN, S Yorkshire, England; Penn State Univ, Dept Geosci, University Pk, PA 16802 USA; Penn State Univ, Inst Environm, University Pk, PA 16802 USA</t>
  </si>
  <si>
    <t>University of Sheffield;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</si>
  <si>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Osborne, CP (corresponding author), Univ Sheffield, Dept Anim &amp; Plant Sci, Sheffield S10 2TN, S Yorkshire, England.</t>
  </si>
  <si>
    <t>c.p.osborne@sheffield.ac.uk</t>
  </si>
  <si>
    <t>Beerling, David/0000-0003-1869-4314; Royer, Dana/0000-0003-0976-953X</t>
  </si>
  <si>
    <t>COMMONWEALTH FORESTRY ASSN</t>
  </si>
  <si>
    <t>P O BOX 142, OXFORD OX26 6ZJ, BICESTER, ENGLAND</t>
  </si>
  <si>
    <t>1465-5489</t>
  </si>
  <si>
    <t>INT FOREST REV</t>
  </si>
  <si>
    <t>Int. For. Rev.</t>
  </si>
  <si>
    <t>10.1505/ifor.6.2.181.38391</t>
  </si>
  <si>
    <t>Forestry</t>
  </si>
  <si>
    <t>839CV</t>
  </si>
  <si>
    <t>WOS:000222761800010</t>
  </si>
  <si>
    <t>Hedley, SL; Buckland, ST</t>
  </si>
  <si>
    <t>Spatial models for line transect sampling</t>
  </si>
  <si>
    <t>JOURNAL OF AGRICULTURAL BIOLOGICAL AND ENVIRONMENTAL STATISTICS</t>
  </si>
  <si>
    <t>distance sampling; generalized additive model; generalized linear model; population size estimation; sightings survey; spatial distribution</t>
  </si>
  <si>
    <t>PREDICTION</t>
  </si>
  <si>
    <t>This article develops methods for fitting spatial models to line transect data. These allow animal density to be related to topographical, environmental, habitat, and other spatial variables, helping wildlife managers to identify the factors that affect abundance. They also enable estimation of abundance for any subarea of interest within the surveyed region, and potentially yield estimates of abundance from sightings surveys for which the survey design could not be randomized, such as surveys conducted from platforms of opportunity. The methods are illustrated through analyses of data from a shipboard sightings survey of minke whales in the Antarctic.</t>
  </si>
  <si>
    <t>Univ St Andrews, Ctr Res Ecol &amp; Environm Modelling, The Observ, St Andrews KY16 9LZ, Fife, Scotland</t>
  </si>
  <si>
    <t>sharon@mcs.st-and.ac.uk; steve@mcs.st-and.ac.uk</t>
  </si>
  <si>
    <t>Buckland, Stephen T/A-1998-2012</t>
  </si>
  <si>
    <t>Buckland, Stephen/0000-0002-9939-709X</t>
  </si>
  <si>
    <t>1085-7117</t>
  </si>
  <si>
    <t>1537-2693</t>
  </si>
  <si>
    <t>J AGR BIOL ENVIR ST</t>
  </si>
  <si>
    <t>J. Agric. Biol. Environ. Stat.</t>
  </si>
  <si>
    <t>10.1198/1085711043578</t>
  </si>
  <si>
    <t>Biology; Mathematical &amp; Computational Biology; Statistics &amp; Probability</t>
  </si>
  <si>
    <t>Life Sciences &amp; Biomedicine - Other Topics; Mathematical &amp; Computational Biology; Mathematics</t>
  </si>
  <si>
    <t>830JS</t>
  </si>
  <si>
    <t>WOS:000222118800004</t>
  </si>
  <si>
    <t>Lea, DW</t>
  </si>
  <si>
    <t>The 100 000-yr cycle in tropical SST, greenhouse forcing, and climate sensitivity</t>
  </si>
  <si>
    <t>VOSTOK ICE-CORE; LAST GLACIAL MAXIMUM; SOUTH CHINA SEA; EQUATORIAL PACIFIC; CARBON-DIOXIDE; SULU SEA; CONTINENTAL ICE; DEEP-WATER; TEMPERATURE; FORAMINIFERA</t>
  </si>
  <si>
    <t>The key scientific uncertainty in the global warming debate is the equilibrium climate sensitivity. Coupled atmosphere-ocean general circulation models predict a wide range of equilibrium climate sensitivities, with a consequently large spread of societal implications. Comparison of models with instrumental data has not been able to reduce the uncertainty in climate sensitivity. An alternative way to gauge equilibrium climate sensitivity is to use paleoclimatic data. Two recent advances, the development and application of proxy recorders of tropical sea surface temperature (SST) and the synchronization of the deep-sea and Antarctic ice-core time scales, make it possible to directly relate past changes in tropical SST to atmospheric carbon dioxide (CO2) levels. The strong correspondence of a proxy SST record from the eastern equatorial Pacific and the Vostok CO2 record suggests that varying atmospheric carbon dioxide is the dominant control on tropical climate on orbital time scales. This effect is especially pronounced at the 100 000-yr cycle. Calibration of the CO2 influence via tropical SST variability indicates a tropical climate sensitivity of 4.4degrees-5.6degreesC ( errors estimated at +/-1.0degreesC) for a doubling of atmospheric CO2 concentration. This result suggests that the equilibrium response of tropical climate to atmospheric CO2 changes is likely to be similar to the upper end of available global predictions from coupled models.</t>
  </si>
  <si>
    <t>Univ Calif Santa Barbara, Dept Geol Sci, Santa Barbara, CA 93106 USA</t>
  </si>
  <si>
    <t>Univ Calif Santa Barbara, Dept Geol Sci, Santa Barbara, CA 93106 USA.</t>
  </si>
  <si>
    <t>lea@geol.ucsb.edu</t>
  </si>
  <si>
    <t>10.1175/1520-0442(2004)017&lt;2170:TYCITS&gt;2.0.CO;2</t>
  </si>
  <si>
    <t>825LB</t>
  </si>
  <si>
    <t>WOS:000221758000009</t>
  </si>
  <si>
    <t>White, WB</t>
  </si>
  <si>
    <t>Comments on ''Synchronous variability in the southern hemisphere atmosphere, sea ice, and ocean resulting from the annular mode''</t>
  </si>
  <si>
    <t>ANTARCTIC CIRCUMPOLAR WAVE; OSCILLATION WAVE; CIRCULATION; TEMPERATURE; PRESSURE; EXTENT</t>
  </si>
  <si>
    <t>White, WB (corresponding author), Univ Calif San Diego, Scripps Inst Oceanog, 9500 Gilman Dr, La Jolla, CA 92093 USA.</t>
  </si>
  <si>
    <t>10.1175/1520-0442(2004)017&lt;2249:COSVIT&gt;2.0.CO;2</t>
  </si>
  <si>
    <t>WOS:000221758000015</t>
  </si>
  <si>
    <t>Keller, M; Sommer, AM; Pörtner, HO; Abele, D</t>
  </si>
  <si>
    <t>Seasonality of energetic functioning and production of reactive oxygen species by lugworm (Arenicola marina) mitochondria exposed to acute temperature changes</t>
  </si>
  <si>
    <t>lugworm; Arenicola marina; mitochondria; ROS; proton leak; metabolic regulation; temperature</t>
  </si>
  <si>
    <t>OXIDATIVE STRESS; LIVER-MITOCHONDRIA; ANTARCTIC BIVALVE; LATERNULA-ELLIPTICA; PROTON LEAK; ADAPTATION; ENZYMES; DAMAGE; ACID</t>
  </si>
  <si>
    <t>The influence of seasonal and acute temperature changes on mitochondrial functions were studied in isolated mitochondria of the eurythermal lugworm Arenicola marina (Polychaeta), with special emphasis on the interdependence of membrane potential and radical production. Acclimatisation of lugworms to prespawning/summer conditions is associated with rising mitochondrial substrate oxidation rates, higher proton leakage rates, elevated membrane potentials, and increased production of reactive oxygen species (ROS) in isolated mitochondria, compared with mitochondria from winter animals. However, a high ROS production was compensated for by higher activities of the antioxidant enzymes catalase and superoxide dismutase, as well as lower mitochondrial densities in summer compared with winter animals. In summer animals, a higher sensitivity of the proton leakage rate to changes of membrane potential will confer better flexibility for metabolic regulation (mild uncoupling) in response to temperature change. These seasonal alterations in mitochondrial functions suggest modifications of energy metabolism in eurythermal and euryoxic organisms on intertidal mudflats during summer. In winter, low and less changeable temperatures in intertidal sedimentary environments permit higher respiratory efficiency at low aerobic metabolic rates and lower membrane potentials in A. marina mitochondria.</t>
  </si>
  <si>
    <t>Alfred Wegener Inst Polar &amp; Marine Res, D-27568 Bremerhaven, Germany; Int Jacobs Univ Bremen, D-28759 Bremen, Germany</t>
  </si>
  <si>
    <t>Abele, D (corresponding author), Alfred Wegener Inst Polar &amp; Marine Res, Columbusstr, D-27568 Bremerhaven, Germany.</t>
  </si>
  <si>
    <t>dabele@awi-bremerhaven.de</t>
  </si>
  <si>
    <t>Pörtner, Hans-O./ISU-9397-2023; Pörtner, Hans-O./K-9429-2016</t>
  </si>
  <si>
    <t>Pörtner, Hans-O./0000-0001-6535-6575; Abele, Doris/0000-0002-5766-5017</t>
  </si>
  <si>
    <t>10.1242/jeb.01050</t>
  </si>
  <si>
    <t>840TO</t>
  </si>
  <si>
    <t>WOS:000222883000021</t>
  </si>
  <si>
    <t>Morley, SA; Mulvey, T; Dickson, J; Belchier, M</t>
  </si>
  <si>
    <t>The biology of the bigeye grenadier at South Georgia</t>
  </si>
  <si>
    <t>age; fecundity; growth; macrourid; Macrourus holotrachys</t>
  </si>
  <si>
    <t>ROUNDNOSE GRENADIER; ROUGHHEAD GRENADIER; POPULATION-STRUCTURE; MACROURID FISHES; AGE VALIDATION; REPRODUCTION; MATURITY; GROWTH; SIZE; OTOLITH</t>
  </si>
  <si>
    <t>The biology of the bigeye grenadier Macrourus holotrachys caught as by-catch in the Patagonian toothfish Dissostichus eleginoides longline fishery conducted around South Georgia was investigated to improve data available for fisheries management. Age estimates suggest that M. holotrachys is a moderately slow growing species (K = 0.10), reaching ages of &gt;30 years and attaining total lengths (L-T) &gt;80 cm (L-infinity = 33). The size at which 50% of females had started to mature (L-int50) for M. holotrachys was 21 cm pre-anal length (L-PA) and occurred at c. 9 years old. Estimates of natural mortality and Pauly's growth performance index were found to be low (M = 0(.)09 and Phi = 2.82 respectively). Gonad maturity stage was described from macroscopic and histological investigation. Mature ovaries had oocytes at all developmental stages with between 22 and 55% likely to be spawned each year. Absolute fecundity ranged from 22 000 to 260 000 eggs and was positively correlated with both pre-anal length and mass. A highly skewed sex ratio of 32 : 1, females: males, was found for specimens caught by longlines but not for a small sample of shallower trawl-caught specimens. It is suggested that females are far more susceptible to longline capture than males. Macrourus holotrachys is a bentho-pelagic predator and scavenger that feeds on a wide range of fishes and invertebrates. The fish are long lived, slow-growing species typical of deep-water grenadiers; fisheries management strategies should reflect their probable susceptibility to overfishing. (C) 2004 The Fisheries Society of the British Isles.</t>
  </si>
  <si>
    <t>markb@bas.ac.uk</t>
  </si>
  <si>
    <t>10.1111/j.0022-1112.2004.00405.x</t>
  </si>
  <si>
    <t>832TH</t>
  </si>
  <si>
    <t>WOS:000222289600004</t>
  </si>
  <si>
    <t>Ellery, A; Wynn-Williams, D; Parnell, J; Edwards, HGM; Dickensheets, D</t>
  </si>
  <si>
    <t>The role of Raman spectroscopy as an astrobiological tool in the exploration of Mars</t>
  </si>
  <si>
    <t>JOURNAL OF RAMAN SPECTROSCOPY</t>
  </si>
  <si>
    <t>Mars; astrobiology; mineralogical analysis; photosynthetic bacteria; pigmented biomolecules</t>
  </si>
  <si>
    <t>IN-SITU; DESICCATION TOLERANCE; ORGANIC-MATTER; BIOLOGY LANDER; MARTIAN SOIL; BEAGLE 2; LIFE; EVOLUTION; SEARCH; WATER</t>
  </si>
  <si>
    <t>We describe how the exploration of the Martian environment would be considerably enhanced through the use of Raman spectroscopy. Furthermore, Raman spectroscopy is particularly suited for both mineralogical analysis of Martian rock and soil and for the detection of fossilised biota from former Martian microorganisms. We outline astrobiologically relevant features of the Martian environment and issues related to the detection of biotic residues. We further discuss the possibility of the emergence of photosynthetic bacteria on early Mars which may have left fossil evidence. We describe how Raman spectroscopy may be deployed for both astrobiological and mineralogical investigation, particularly in search of pigmented biomolecules, and describe the requirements for a spaceflight-qualified version of a Raman spectrometer for deployment on Mars. Copyright (C) 2004 John Wiley Sons, Ltd.</t>
  </si>
  <si>
    <t>Kingston Univ, Sch Engn, London SW15 2YB, England; British Antarctic Survey, Cambridge CB3 DET, England; Univ Aberdeen, Dept Geol &amp; Petr Geol, Aberdeen AB24 3UE, Scotland; Univ Bradford, Dept Chem &amp; Forens Sci, Bradford BD7 1DP, W Yorkshire, England; Montana State Univ, Dept Elect &amp; Comp Engn, Bozeman, MT 59717 USA</t>
  </si>
  <si>
    <t>Kingston University; UK Research &amp; Innovation (UKRI); Natural Environment Research Council (NERC); NERC British Antarctic Survey; University of Aberdeen; University of Bradford; Montana State University System; Montana State University Bozeman</t>
  </si>
  <si>
    <t>Kingston Univ, Sch Engn, Friars Ave,Roehampton Vale, London SW15 2YB, England.</t>
  </si>
  <si>
    <t>a.ellery@kingston.ac.uk</t>
  </si>
  <si>
    <t>0377-0486</t>
  </si>
  <si>
    <t>1097-4555</t>
  </si>
  <si>
    <t>J RAMAN SPECTROSC</t>
  </si>
  <si>
    <t>J. Raman Spectrosc.</t>
  </si>
  <si>
    <t>10.1002/jrs.1189</t>
  </si>
  <si>
    <t>835WK</t>
  </si>
  <si>
    <t>WOS:000222516000004</t>
  </si>
  <si>
    <t>Edwards, HGM; Villar, SEJ; Bishop, JL; Bloomfield, M</t>
  </si>
  <si>
    <t>Raman spectroscopy of sediments from the Antarctic Dry Valleys; an analogue study for exploration of potential paleolakes on Mars</t>
  </si>
  <si>
    <t>micro-Raman spectroscopy; lacustrine sediments; Martian palaeolakes; Antarctic Dry Valleys; Mars analogues</t>
  </si>
  <si>
    <t>LAKE-HOARE; GEOCHEMICAL ANALYSES; GUSEV CRATER; REFLECTANCE; MATS</t>
  </si>
  <si>
    <t>A Raman spectroscopic study was performed on igneous sediments dominated by plagioclase, K-feldspar, quartz and pyroxene from the Dry Valleys region of Antarctica. Lakes from this region of Antarctica have been investigated as possible analogues for paleolake environments on early Mars. Gaining Raman spectra of such sediments provides compositional information for missions to Mars, and also the necessary ground truthing for use of Raman spectroscopy for exploration of geology, and perhaps biology, on Mars. Sediments measured in this study were collected from the perennially ice-covered Lake Hoare in the Taylor Valley and include surface sediments, and lakebottom sediments from oxic and anoxic zones of the lake. Micro-Raman spectroscopy provides a unique opportunity for in situ exploration of biogeochemical processes on the micron scale at field sites. For example, in these potential paleolake analogue sediments, similar to5 mum sized sulfide deposits were observed on the surface of quartz grains in one of the anoxic sediments. Small amounts of calcite, organics, clays and iron oxides/hydroxides were also identified. Copyright (C) 2004 John Wiley Sons, Ltd.</t>
  </si>
  <si>
    <t>NASA, Ames Res Ctr, SETI Inst, Moffett Field, CA 94035 USA; Univ Bradford, Dept Chem &amp; Forens Sci, Bradford BD7 1DP, W Yorkshire, England; Univ Burgos, Area Geodinam Interna, Burgos 09001, Spain; Renishaw PLC, Wotton Under Edge GL12 7DW, Glos, England</t>
  </si>
  <si>
    <t>National Aeronautics &amp; Space Administration (NASA); NASA Ames Research Center; University of Bradford; Universidad de Burgos; Renishaw plc</t>
  </si>
  <si>
    <t>Bishop, JL (corresponding author), NASA, Ames Res Ctr, SETI Inst, Moffett Field, CA 94035 USA.</t>
  </si>
  <si>
    <t>jbishop@mail.arc.nasa.gov</t>
  </si>
  <si>
    <t>Jorge-Villar, Susana E./A-8927-2011</t>
  </si>
  <si>
    <t>Jorge-Villar, Susana E./0000-0003-1676-4438; Bishop, Janice/0000-0002-6681-9954</t>
  </si>
  <si>
    <t>10.1002/jrs.1174</t>
  </si>
  <si>
    <t>WOS:000222516000005</t>
  </si>
  <si>
    <t>Edwards, HGM; Cockell, CS; Newton, EM; Wynn-Williams, DD</t>
  </si>
  <si>
    <t>Protective pigmentation in UVB-screened Antarctic lichens studied by Fourier transform Raman spectroscopy: an extremophile bioresponse to radiation stress</t>
  </si>
  <si>
    <t>UV radiation stress; Antarctic lichens; Mars analogues; radiation stress; photoprotective pigments</t>
  </si>
  <si>
    <t>ULTRAVIOLET-RADIATION</t>
  </si>
  <si>
    <t>FT-Raman spectra were obtained for two Antarctic extremophiles, the epilithic lichens Xanthoria elegans and Caloplaca sublobulata from the maritime ecological long-term research site on Leonie Island. Twelve specimens from cloches designed for the filtering out and transmission of UVB radiation over a 2 year period and two specimens from the natural habitat outside the cloches were analysed in terms of their characteristic Raman bands from the two photoprotective pigments parietin and beta-carotene. Following chemometric analysis, the specimens inside the UVB-protective cloches exhibited a lower parietin:beta-carotene ratio than specimens from the same habitat that did not have UVB protection. The relative roles of parietin, a passive UVB photoprotectant, and beta-carotene are discussed and a possible duality of biological function is suggested for these pigments. Copyright (C) 2004 John Wiley Sons, Ltd.</t>
  </si>
  <si>
    <t>Univ Bradford, Dept Chem &amp; Forens Sci, Bradford BD7 1DP, W Yorkshire, England; British Antarctic Survey, Cambridge CB3 0ET, England</t>
  </si>
  <si>
    <t>Univ Bradford, Dept Chem &amp; Forens Sci, Bradford BD7 1DP, W Yorkshire, England.</t>
  </si>
  <si>
    <t>10.1002/jrs.1172</t>
  </si>
  <si>
    <t>WOS:000222516000006</t>
  </si>
  <si>
    <t>Edwards, HGM; Wynn-Williams, DD; Villar, SEJ</t>
  </si>
  <si>
    <t>Biological modification off haematite in Antarctic cryptoendolithic communities</t>
  </si>
  <si>
    <t>biogeological modification; Antarctic; cryptoendolith; Mars analogue; iron oxide</t>
  </si>
  <si>
    <t>Detailed FT-Raman spectra of Antarctic cryptoendolithic colonies in Beacon sandstone have revealed some novel information about the biogeological modification process involving iron(III) mobilization by the organism. The previously unreported but characteristic orange-yellow surface colour of endolithic rock specimens is attributed to the presence of goethite, alpha-FeOOH, iron(III) oxide hydroxide, which has been converted from haematite, alpha-Fe2O3, by cyanobacterial modification. Although goethite is also identified in the biological layers, haematite is found unchanged elsewhere in the specimens. No spectroscopic evidence is found for iron(III) complexes of metabolic byproducts such as oxalate or pyruvate. The results are of relevance to remote spectroscopic sensing experiments for Martian planetary surface exploration, where the presence of iron(III) oxide is evident, below which it seems likely that a significant quantity of hydroxyl groups in the form of water could exist. Copyright (C) 2004 John Wiley Sons, Ltd.</t>
  </si>
  <si>
    <t>Jorge-Villar, Susana E./0000-0003-1676-4438</t>
  </si>
  <si>
    <t>10.1002/jrs.1171</t>
  </si>
  <si>
    <t>WOS:000222516000007</t>
  </si>
  <si>
    <t>Edwards, HGM; Moody, CA; Villar, SEJ; Mancinelli, R</t>
  </si>
  <si>
    <t>Raman spectroscopy of desert varnishes and their rock substrata</t>
  </si>
  <si>
    <t>micro-Raman spectroscopy; desert varnish; cyanobacteria; epilithic lichen</t>
  </si>
  <si>
    <t>ANTARCTIC HABITATS; BIOMOLECULES; COMMUNITIES</t>
  </si>
  <si>
    <t>The Fourier-transform Raman spectra of desert varnish specimens and their rock substrata from locations in Colorado and Nevada, USA, are reported. The Colorado specimen exhibits molecular signatures for beta-carotene and scytonemin; the latter is a characteristic biomarker of cyanobacterial colonies and is produced by these organisms in response to high UV-radiation stress. The Nevada specimen, on the other hand, exhibited characteristic Raman bands arising from whewellite and lichen metabolites such as atranorin and paretin, indicative of an epilithic lichen colonization. The application of Raman microscopy for the identification of extinct or extant biological colonization of rocks in exposed hot desert environments could form a useful adjunct for database construction relevant to exobiological studies and key spectral bioindicators for the robotic exploration of planetary surfaces. Copyright (C) 2004 John Wiley Sons, Ltd.</t>
  </si>
  <si>
    <t>Univ Bradford, Dept Chem &amp; Forens Sci, Bradford BD7 1DP, W Yorkshire, England; Univ Burgos, Fac Humanidades &amp; Educ, Area Geodinam Interna, Burgos 09001, Spain; NASA, Ames Res Ctr, Moffett Field, CA 94035 USA</t>
  </si>
  <si>
    <t>University of Bradford; Universidad de Burgos; National Aeronautics &amp; Space Administration (NASA); NASA Ames Research Center</t>
  </si>
  <si>
    <t>Edwards, HGM (corresponding author), Univ Bradford, Dept Chem &amp; Forens Sci, Bradford BD7 1DP, W Yorkshire, England.</t>
  </si>
  <si>
    <t>10.1002/jrs.1170</t>
  </si>
  <si>
    <t>WOS:000222516000008</t>
  </si>
  <si>
    <t>Matthews, TG; Constable, AJ</t>
  </si>
  <si>
    <t>Effect of flooding on estuarine bivalve populations near the mouth of the Hopkins River, Victoria, Australia</t>
  </si>
  <si>
    <t>The densities of two common intertidal/shallow subtidal bivalves, Soletellina alba and Arthrilica helmsi, were sampled in vegetated and unvegetated habitats of the Hopkins River estuary on three occasions during the autumn/winter 1995. Winter flooding coincided with mass mortalities of the infaunal bivalve S. alba, but not A. helmsi. Mortalities were apparent for individuals living deeper in the sediment (35 cm) in vegetated and unvegetated habitats, but small S. alba (&lt;1 mm) were less susceptible to mortality than larger individuals (&gt;1 mm). Mortalities were similar across different habitat types and sediment depths, and at multiple sites within close proximity to the estuary month.</t>
  </si>
  <si>
    <t>Deakin Univ, Sch Ecol &amp; Environm, Warrnambool, Vic 3280, Australia; Australian Antarctic Div, Antarctic Marine Living Resources Programme, Ecol &amp; Resources Modelling Grp, Kingston, Tas 7050, Australia</t>
  </si>
  <si>
    <t>Deakin University; Australian Antarctic Division</t>
  </si>
  <si>
    <t>Matthews, TG (corresponding author), Deakin Univ, Sch Ecol &amp; Environm, POB 423, Warrnambool, Vic 3280, Australia.</t>
  </si>
  <si>
    <t>tym@deakin.edu.au; andrewconstable@antdiv.gov.au</t>
  </si>
  <si>
    <t>Matthews, Ty G/G-1677-2013</t>
  </si>
  <si>
    <t>10.1017/S0025315404009671h</t>
  </si>
  <si>
    <t>834ZF</t>
  </si>
  <si>
    <t>WOS:000222448700019</t>
  </si>
  <si>
    <t>McKnight, DM; Runkel, RL; Tate, CM; Duff, JH; Moorhead, DL</t>
  </si>
  <si>
    <t>Inorganic N and P dynamics of Antarctic glacial meltwater streams as controlled by hyporheic exchange and benthic autotrophic communities</t>
  </si>
  <si>
    <t>JOURNAL OF THE NORTH AMERICAN BENTHOLOGICAL SOCIETY</t>
  </si>
  <si>
    <t>Antarctic desert streams; hyporheic exchange; inorganic nitrogen and phosphorus cycling; benthic algae; nitrate; phosphate; synoptic survey; tracer injection</t>
  </si>
  <si>
    <t>MCMURDO DRY VALLEYS; TRANSIENT STORAGE; PHOSPHORUS UPTAKE; NITROGEN DYNAMICS; WATER EXCHANGE; RETENTION; ZONE; LAKES; ECOSYSTEMS; AMMONIUM</t>
  </si>
  <si>
    <t>The McMurdo Dry Valleys of South Victoria Land, Antarctica, contain numerous glacial meltwater streams that drain into takes on the valley floors. Many of the streams have abundant perennial mats of filamentous cyanobacteria. The algal mats grow during streamflow in the austral summer and are in a dormant freeze-dried state during the rest of the year. NO3 and soluble reactive P (SRP) concentrations were lower in streams with abundant algal mats than in streams with sparse algal mats. NO3 and SRP concentrations were higher in the hyporheic zone of a stream with abundant algal mats than in the stream itself. An experimental injection of LiCl, NaNO3, and K3PO4 was conducted in Green Creek, which has abundant algal mats. Substantial hyporheic exchange occurred. The NO3 and PO4 concentrations at 50 m below the injection were 55 muM and 18 muM, respectively, during the experiment. NO3 and PO4 concentrations were below the detection limit of 1 to 2 muM at a site 497 m below the injection during the Cl tracer arrival, indicating a high capacity for nutrient uptake by algal communities. NO2 and NH4 were present at sites 226 and 327 m below the injection, indicating that, in addition to denitrification and algal uptake, dissimilatory NO3 reduction to NO2 and NH4 may be a NO3 sink during transport. Transport modelling with nutrient uptake represented as a 1(st)-order process yielded reach-scale parameters of 4.3 x 10(-5) to 3.9 x 10(-4)/s and 1.4 x 10(-4) to 3.8 x 10(-1)/s for uptake of NO3 and PO4, respectively. The best match with the observed data was a model in which PO4 uptake occurred only in the main channel and NO3 uptake occurred in the main channel and in the hyporheic zone. Hyporheic NO3 uptake was 7 to 16% of the total uptake for the different stream reaches. These results demonstrate that nutrient flux to the lakes is controlled by hyporheic exchange and nutrient uptake by algal mats in dry valley streams. Streams without algal mats contribute more nutrients to the lakes than streams with algal mats.</t>
  </si>
  <si>
    <t>Inst Arct &amp; Alpine Res, Boulder, CO 80309 USA; US Geol Survey, Denver Fed Ctr, Denver, CO 80225 USA; US Geol Survey, Menlo Pk, CA 94025 USA; Univ Toledo, Dept Biol, Toledo, OH 43606 USA</t>
  </si>
  <si>
    <t>United States Department of the Interior; United States Geological Survey; United States Department of the Interior; United States Geological Survey; University System of Ohio; University of Toledo</t>
  </si>
  <si>
    <t>Inst Arct &amp; Alpine Res, Boulder, CO 80309 USA.</t>
  </si>
  <si>
    <t>diane.mcknight@colorado.edu; runkel@usgs.gov; cmtate@usgs.gov; jhduff@usgs.gov; moorhead@toledo.edu</t>
  </si>
  <si>
    <t>MCKNIGHT, DIANE/0000-0002-4171-1533</t>
  </si>
  <si>
    <t>NORTH AMER BENTHOLOGICAL SOC</t>
  </si>
  <si>
    <t>1041 NEW HAMSPHIRE STREET, LAWRENCE, KS 66044 USA</t>
  </si>
  <si>
    <t>0887-3593</t>
  </si>
  <si>
    <t>J N AM BENTHOL SOC</t>
  </si>
  <si>
    <t>J. N. Am. Benthol. Soc.</t>
  </si>
  <si>
    <t>10.1899/0887-3593(2004)023&lt;0171:INAPDO&gt;2.0.CO;2</t>
  </si>
  <si>
    <t>828LE</t>
  </si>
  <si>
    <t>WOS:000221974000002</t>
  </si>
  <si>
    <t>Pistorius, PA; Bester, MN; Lewis, MN; Taylor, FE; Campagna, C; Kirkman, SP</t>
  </si>
  <si>
    <t>Adult female survival, population trend, and the implications of early primiparity in a capital breeder, the southern elephant seal (Mirounga leonina)</t>
  </si>
  <si>
    <t>Mirounga leonina; elephant seals; mark-recapture; survival; primiparity; life-history strategies</t>
  </si>
  <si>
    <t>ANTARCTIC FUR SEALS; MOOSE ALCES-ALCES; MARION-ISLAND; LIFE-HISTORY; MACQUARIE-ISLAND; DECLINING POPULATION; MARKED ANIMALS; WILD REINDEER; REPRODUCTIVE SUCCESS; STOCHASTIC-MODEL</t>
  </si>
  <si>
    <t>Adult female survival as a potential proximate factor responsible for observed changes in southern elephant seal Mirounga leonina populations was investigated. We compared the survival rate estimates from mark recapture data for female elephant seals from the Marion Island population (using program MARK) for two periods (pre- and post-decline) during the past 15 years and with estimates from another population in southern Argentina, which had increased steadily during the same period. Survival of prime-age adult females increased significantly by 6.2% during the latter part of the decline at Marion Island, and the survival of adult females at the colony in southern Argentina was 3.2% greater than at Marion Island after the stabilization. We thereby demonstrated the importance of adult female survival in population regulation and emphasized the importance of monitoring adult females in order to understand population changes in southern elephant seals. In addition, we investigated whether reproductive expenditure early on in life reduces future reproductive potential in the population at Marion Island. We did this by estimating and comparing future survival and breeding probabilities of females primiparous at different ages. The future annual survival and breeding probabilities of females breeding at a young age, was similar to those from females primiparous at an older age. There was also no reduced survival in the year following first breeding in young or older first time breeders. Reproductive expenditure in young primiparous females therefore did not entail future fitness costs relative to older primiparous females, and we found no evidence supporting the existence of various life-history strategies in terms of age of primiparity within a population of southern elephant seals.</t>
  </si>
  <si>
    <t>Univ Pretoria, Mammal Res Inst, Dept Zool &amp; Entomol, ZA-0002 Pretoria, South Africa; Ctr Nacl Patagonico, RA-9120 Chubut, Argentina</t>
  </si>
  <si>
    <t>University of Pretoria; Centro Nacional Patagonico (CENPAT)</t>
  </si>
  <si>
    <t>Univ Pretoria, Mammal Res Inst, Dept Zool &amp; Entomol, ZA-0002 Pretoria, South Africa.</t>
  </si>
  <si>
    <t>mnbester@zoology.up.ac.za</t>
  </si>
  <si>
    <t>Bester, Marthán N/E-5387-2010; Kirkman, Stephen/AAA-9139-2021</t>
  </si>
  <si>
    <t>Kirkman, Stephen/0000-0001-5428-7375; Campagna, Claudio/0000-0002-7971-5062; Pistorius, Pierre/0000-0001-6561-7069; Lewis, Mirtha/0000-0001-6262-6226</t>
  </si>
  <si>
    <t>10.1017/S0952836904004984</t>
  </si>
  <si>
    <t>828NE</t>
  </si>
  <si>
    <t>WOS:000221979200001</t>
  </si>
  <si>
    <t>Palethorpe, B; Hayes-Gill, B; Crowe, J; Sumner, M; Crout, N; Foster, M; Reid, T; Benford, S; Greenhalgh, C; Laybourn-Parry, J</t>
  </si>
  <si>
    <t>Real-time physical data acquisition through a remote sensing platform on a polar lake</t>
  </si>
  <si>
    <t>LIMNOLOGY AND OCEANOGRAPHY-METHODS</t>
  </si>
  <si>
    <t>FRESH-WATER; ICE COVER; TEMPERATURE; PHOTOSYNTHESIS; ANTARCTICA; DYNAMICS; PATTERNS</t>
  </si>
  <si>
    <t>We describe the design and installation of environmental monitoring equipment on a large freshwater Antarctic lake (Crooked Lake, 68degrees37'S, 78degrees23'E). The system recorded ice thickness and photosynthetically active radiation (PAR), ultraviolet (UVB) radiation, and temperature at a range of depths in the water column. The data were accessed remotely at Davis Station (15 km distant) by telemetry. The remote sensing platform produced continuous quasi real-time data, enabling the development of accurate detailed models, e. g., ice heat budget models during seasonal melt out. The prototype system has the capacity for the addition of further instrumentation, for example, fluorimeters. Here we present an illustrative preliminary data set derived during the summer immediately prior to ice-cover break up and after winter redeployment of the platform.</t>
  </si>
  <si>
    <t>Univ Nottingham, Sch Biosci, Nottingham NG7 2RD, England; Univ Nottingham, Sch Elect &amp; Elect Engn, Nottingham NG7 2RD, England; Univ Nottingham, Sch Comp Sci &amp; Informat Technol, Nottingham NG8 1BB, England</t>
  </si>
  <si>
    <t>University of Nottingham; University of Nottingham; University of Nottingham</t>
  </si>
  <si>
    <t>Crout, Neil MJ/A-1369-2011</t>
  </si>
  <si>
    <t>Crowe, John/0000-0002-5438-2169; Benford, Steve/0000-0001-8041-2520; Crout, Neil/0000-0001-7394-5070; Greenhalgh, Chris/0000-0003-3483-2422; Sumner, Mark/0000-0003-2536-6298</t>
  </si>
  <si>
    <t>LIMNOL OCEANOGR-METH</t>
  </si>
  <si>
    <t>Limnol. Oceanogr. Meth.</t>
  </si>
  <si>
    <t>10.4319/lom.2004.2.191</t>
  </si>
  <si>
    <t>903IS</t>
  </si>
  <si>
    <t>WOS:000227420000005</t>
  </si>
  <si>
    <t>Yoshida, T; Toda, T; Hirano, Y; Matsuda, T; Kawaguchi, S</t>
  </si>
  <si>
    <t>Effect of temperature on embryo development time and hatching success of the Antarctic krill Euphausia superba Dana in the laboratory</t>
  </si>
  <si>
    <t>MARINE AND FRESHWATER BEHAVIOUR AND PHYSIOLOGY</t>
  </si>
  <si>
    <t>Krill; Euphausia superba; hatching success; embryo development; temperature; Belehradek's equation</t>
  </si>
  <si>
    <t>EGG-PRODUCTION; COPEPOD EGGS; GROWTH; CALANOIDA; ADAPTATIONS; CRUSTACEA; PRESSURE; SIZE</t>
  </si>
  <si>
    <t>Embryos released by gravid females of Antarctic krill ( Euphausia superba Dana) at the Port of Nagoya Public Aquarium, Japan were incubated in the laboratory to determine the development time and hatching success of embryos at -2.1, -1.7, -1.2, -0.6, -0.1, 0.8 and 2.4degreesC. Embryo development time was significantly related to temperature, and could be expressed either in an exponential model or Belehradek's equation. The Belehradek's equation. D = 2.7 e (-0.27T) + 2.92 D = 65.3(T + 8.8)(-1.13) The Belehradek's equation was compared with previous studies, and also with those on other marine crustaceans. The curve calculated by this equation was similar to those for other arctic zooplankton species. Hatching success ranged from 7 to 58%, and varied between each gravid female. The physical condition of gravid females may affect the embryo quality and the hatching success. The factors that determine embryo development time and hatching success are discussed by comparing the data with those from previous studies performed on euphausiids and other marine crustaceans.</t>
  </si>
  <si>
    <t>Soka Univ, Fac Engn, Dept Environm Engn Symbosis, Tokyo, Japan; Port Nagoya Publ Aquarium, Minato Ku, Nagoya, Aichi 4550033, Japan; Natl Res Inst Far Seas Fisheries, Shizuoka 4248633, Japan</t>
  </si>
  <si>
    <t>Soka University; Japan Fisheries Research &amp; Education Agency (FRA)</t>
  </si>
  <si>
    <t>Austalian Antarctic Div, Channel Highway, Kingston, Tas 7050, Australia.</t>
  </si>
  <si>
    <t>So.Kawaguchi@aad.gov.au</t>
  </si>
  <si>
    <t>Kawaguchi, So/N-1795-2017</t>
  </si>
  <si>
    <t>Toda, Tatsuki/0000-0001-9279-030X; Kawaguchi, So/0000-0002-2042-5095</t>
  </si>
  <si>
    <t>1023-6244</t>
  </si>
  <si>
    <t>1029-0362</t>
  </si>
  <si>
    <t>MAR FRESHW BEHAV PHY</t>
  </si>
  <si>
    <t>Mar. Freshw. Behav. Physiol.</t>
  </si>
  <si>
    <t>10.1080/10236240410001705789</t>
  </si>
  <si>
    <t>832BB</t>
  </si>
  <si>
    <t>WOS:000222240900006</t>
  </si>
  <si>
    <t>Steer, BLM; Jackson, GD</t>
  </si>
  <si>
    <t>Temporal shifts in the allocation of energy in the arrow squid, Nototodarus gouldi:: sex-specific responses</t>
  </si>
  <si>
    <t>FLEXIBLE REPRODUCTIVE STRATEGIES; CALAMARY SEPIOTEUTHIS-AUSTRALIS; SHORT-FINNED SQUID; ILLEX-ILLECEBROSUS; CEPHALOPODA; MATURATION; GROWTH; OMMASTREPHIDAE; TEUTHOIDEA; COINDETII</t>
  </si>
  <si>
    <t>Squid typically display considerable intra-specific plasticity in size and age-at-maturity in response to ambient environmental conditions, yet little is known of the mechanisms driving these variations. We examined the intra-specific variability in Nototodarus gouldi reproductive traits to determine patterns of energy allocation between somatic and reproductive processes over short temporal scales. Females caught during the cool months of May and July were larger, had slower lifetime growth, lower gonad investment, and better somatic condition than females caught during the warmer months, suggesting a trade-off between gonad investment and somatic condition in females. On the other hand, males showed a tight coupling between somatic condition and gonad investment for most months, with increases in somatic and gonad tissue occurring concurrently. In male squid, an increase in lifetime growth rate was coupled with an increase in the relative weights of somatic and reproductive structures, whereas in females, percent increase in body weight per day was correlated only with gonad development. Patterns of repro-somatic investment in mature females had implications for spawning strategies, since female squid with higher levels of gonad investment apparently released batches of eggs together as a group, regardless of body size, whereas females with low gonad investment possibly spawned their eggs independently of one another. In terms of life-history theory, male squid were able to respond rapidly to environmental fluctuations without compromising either the gonad or the soma. However, although mature females did not appear to respond as quickly to ambient conditions, female squid possibly produced two different reproductive strategies, possibly to maximise offspring survival in either a stable or a variable environment. It seems from our study that monthly variations in ambient conditions may have large effects on life-history strategies.</t>
  </si>
  <si>
    <t>Univ Tasmania, Inst Antarctic &amp; So Ocean Studies, Hobart, Tas 7001, Australia</t>
  </si>
  <si>
    <t>Steer, BLM (corresponding author), Univ Tasmania, Inst Antarctic &amp; So Ocean Studies, Private Bag 77, Hobart, Tas 7001, Australia.</t>
  </si>
  <si>
    <t>bmcgrath@utas.edu.au</t>
  </si>
  <si>
    <t>10.1007/s00227-003-1289-z</t>
  </si>
  <si>
    <t>825IZ</t>
  </si>
  <si>
    <t>WOS:000221751300010</t>
  </si>
  <si>
    <t>Foster, DA; Staubwasser, M; Henderson, GM</t>
  </si>
  <si>
    <t>226Ra and Ba concentrations in the Ross Sea measured with multicollector ICP mass spectrometry</t>
  </si>
  <si>
    <t>radium; barium; Ross Sea; ICP-MS</t>
  </si>
  <si>
    <t>SOUTHERN-OCEAN; COASTAL WATERS; RADIUM ISOTOPES; DEEP-SEA; PACIFIC; BARIUM; ANTARCTICA; PALEOPRODUCTIVITY; SEDIMENTS; PRECISE</t>
  </si>
  <si>
    <t>Analysis of Ra-226 concentrations in natural samples has been limited by the low efficiency of counting techniques, or by the time-consuming nature of thermal ionization mass spectrometry (TIMS). In this study, we have developed and tested the use of multiple ion-counting plasma source mass spectrometry to provide a fast and effective analytical technique for Ra-226. We use a Nu Instruments mass spectrometer to collect Ra-226 and the spike isotope, Ra-228, synchronously, thereby maximising ion yields. This approach requires assessment of the gain of the ion counters and of mass discrimination, both of which are achieved using a U standard before and after analysis. Molecular interferences in the Ra spectrum must also be assessed. It is shown that, when the torch region is contaminated with Ba, significant interferences ( similar to 100 cps) at + 225.8 and 227.8 amu are observed. When clean of this Ba interference, however, the Ra spectrum has a very low background so that rapid and accurate measurement of Ra-226 concentration is possible. We use this new technique to measure Ra-226 concentrations in three water column profiles from the Ross Sea area for which Ba concentrations were also measured. Ra-226 concentrations range from 0.36 to 0.42 fmol/kg, and Ba concentrations from 78.2 to 90.3 nmol/kg. The Ra-226/Ba ratio is constant at 4.7 X 10(-9) mol/mol, within error of surface water values measured by TIMS. The constancy of the Ra-226/Ba in the Ross Sea, at a value typical for the open ocean, argues against addition of significant Ra or Ba by meltwater or groundwater from the Antarctic continent. This result makes the dating of carbonates from the area using Ra-226/Ba possible. The lack of surface depletion in either Ba or Ra-226 differs from the pattern observed in the open Southern Ocean where concentrations increase with depth, suggesting that either the calcite-dominated productivity in the Ross Sea area does not remove Ra-226 and Ba as effectively as opal-dominated productivity in the Southern Ocean, or that water column mixing in the Ross Sea is effective at the time scale of removal. (C) 2004 Elsevier B.V All tights reserved.</t>
  </si>
  <si>
    <t>Univ Oxford, Dept Earth Sci, Oxford OX1 3PR, England</t>
  </si>
  <si>
    <t>University of Oxford</t>
  </si>
  <si>
    <t>Univ Oxford, Dept Earth Sci, S Pks Rd, Oxford OX1 3PR, England.</t>
  </si>
  <si>
    <t>gideon.henderson@earth.ox.ac.uk</t>
  </si>
  <si>
    <t>Staubwasser, Michael/N-4021-2015</t>
  </si>
  <si>
    <t>Staubwasser, Michael/0000-0002-5892-1115; Henderson, Gideon/0000-0002-6279-7137</t>
  </si>
  <si>
    <t>10.1016/j.marchem.2004.02.003</t>
  </si>
  <si>
    <t>815AL</t>
  </si>
  <si>
    <t>WOS:000221015100005</t>
  </si>
  <si>
    <t>Edyvane, KS; Dalgetty, A; Hone, PW; Higham, JS; Wace, NM</t>
  </si>
  <si>
    <t>Long-term marine litter monitoring in the remote great Australian Bight, South Australia</t>
  </si>
  <si>
    <t>marine litter; marine monitoring; Great Australian Bight; fisheries; fishing debris; Southern Ocean</t>
  </si>
  <si>
    <t>SEA-SURFACE TEMPERATURE; MAN-MADE DEBRIS; PLASTIC DEBRIS; FUR SEALS; NEOPHOCA-CINEREA; ENVIRONMENT; SEABIRDS; INGESTION; ABUNDANCE; ENTANGLEMENT</t>
  </si>
  <si>
    <t>The Anxious Bay beach litter clearance is the longest running annual survey of ocean-based litter in Australia. It's remoteness from centres of human population and location (with respect to prevailing winds and currents) make it an ideal place for monitoring ocean or ship-based litter in Australia's southern oceans and particularly, the Great Australian Bight. Over the 1991-1999 period, a large but gradual decline in the amount of beach washed litter was recorded (with minor peaks recorded during the 1992 and 1994 surveys). Beach washed litter decreased by approximately 86%, from 344 kg recorded in 1991 (13.2 kg/km) to 49 kg in 1999 (i.e. 1.9 kg/km), reaching a maximum of 390 kg in 1992 (or 15 kg/km of beach). However, a sharp increase in litter was recorded in 2000 (i.e. 252 kg or 9.7 kg/km). This increase in litter yield in 2000 is probably due to stronger than average onshore surface flow (or Ekman Transport) in the western Eyre Peninsula and Bight region. Prior to the survey in 2000, the results appeared to indicate that ocean litter on Anxious Bay beach was beginning to level out at around 50-70 kg/year (i.e. 2-3 kg/km). As the beach surveys involve the assumption that the beach is completely cleared of litter, this may represent a baseline level for ocean-based litter in the region. The yields and type of litter collected from the annual survey indicates that the majority of litter washed ashore originates from commercial fishing activities within the Great Australian Bight. Most of the fishing-related litter was directly sourced to the Southern Rock Lobster Fishery (i.e. bait buckets, baskets, pots), the Great Australian Bight Trawl Fishery (i.e. codends, trawl nets) and the Southern Shark Fishery (i.e. monofilament gillnets and longlines). Between 1994 and 1999, large reductions were observed in the amount of bait straps (77% reduction), lobster bait baskets/buckets (86% reduction), nets/ropes (62% reduction) and floats/buoys (83% reduction). Significantly, fishing-related litter in the Bight has reduced at a slower rate than domestic litter. While the level of glass and soft plastics on the beach have both reduced by almost 93% (i.e. 103-7 kg and 119-8 kg, respectively), the level of hard plastics, has diminished at a slower rate, with reductions of only 75% (i.e. 122-30 kg). Some fisheries (i.e. rock lobster, Southern Shark Fishery) have shown marked reductions in fishing-related litter. This is probably due, to some extent, to significant reductions in fishing effort in the region, although this requires further investigation. The information from the Anxious Bay beach litter survey is crucial in monitoring trends in ocean litter in Australia's southern oceans and compliance with international litter regulations. While fishing-related litter remains the major source of ship-based or ocean litter in Australia's southern oceans, the continued reduction in ship-based litter since 1991 supports increasing compliance to MARPOL (Annex V) by commercial fisheries and shipping in the Great Australian Bight. While Australia participates in marine debris monitoring programs in the Antarctic (under CCAMLR), there is currently no national program or management framework to assess, manage and monitor ocean-based litter along Australia's coasts, and monitor compliance with MARPOL. Apart from the commitments under CCAMLR for Antarctic (and sub-Antarctic) marine environments, there are no other regional programs, guidelines or monitoring protocols or to assess and manage ocean litter in the Southern Ocean. (C) 2003 Elsevier Ltd. All rights reserved.</t>
  </si>
  <si>
    <t>Australian Natl Univ, Res Sch Pacific Studies, Dept Biogeog &amp; Geomorphol, Canberra, ACT 2600, Australia; S Australian Res &amp; Dev Inst, W Beach, SA 5024, Australia; Fisheries Res &amp; Dev Corp, Deakin, ACT 2600, Australia</t>
  </si>
  <si>
    <t>Australian National University</t>
  </si>
  <si>
    <t>Univ Tasmania, Sch Geog &amp; Environm Studies, GPO Box 252-78, Hobart, Tas 7001, Australia.</t>
  </si>
  <si>
    <t>karen.edyvane@utas.edu.au</t>
  </si>
  <si>
    <t>Edyvane, Karen Susan/JDD-0011-2023</t>
  </si>
  <si>
    <t>Edyvane, Karen Susan/0000-0002-1527-435X</t>
  </si>
  <si>
    <t>10.1016/j.marpolbul.2003.12.012</t>
  </si>
  <si>
    <t>831XO</t>
  </si>
  <si>
    <t>WOS:000222230300018</t>
  </si>
  <si>
    <t>Negri, AP; Hales, LT; Battershill, C; Wolff, C; Webster, NS</t>
  </si>
  <si>
    <t>TBT contamination identified in Antarctic marine sediments</t>
  </si>
  <si>
    <t>Antarctica; TBT; tributyltin; antifouling; ice; breaker</t>
  </si>
  <si>
    <t>BUTYLTIN; WATERS</t>
  </si>
  <si>
    <t>We report for the first time butyltin contamination of near-shore sediments at six sites in the Ross Sea, Antarctica. A very high concentration of 2290 mug Sn kg(-1) sediment was recorded in one sample. The most likely source is abrasion of antifouling paint from the hulls of ice-breakers, but this pattern of contamination is also possible following ship groundings. Antifoulant biocides, such as TBT, have not been considered or detected in Antarctica previously and represent a new challenge to environmental managers and custodians. (C) 2004 Elsevier Ltd. All rights reserved.</t>
  </si>
  <si>
    <t>Australian Inst Marine Sci, Townsville, Qld 4810, Australia; CSIRO Energy Technol, Lucas Heights, NSW 2234, Australia; Univ Christchurch, Christchurch, New Zealand</t>
  </si>
  <si>
    <t>Australian Institute of Marine Science; Commonwealth Scientific &amp; Industrial Research Organisation (CSIRO); University of Otago</t>
  </si>
  <si>
    <t>Australian Inst Marine Sci, Townsville, Qld 4810, Australia.</t>
  </si>
  <si>
    <t>a.negri@aims.gov.au</t>
  </si>
  <si>
    <t>Negri, Andrew/G-9909-2017; Webster, Nicole/G-4980-2011; Battershill, Christopher/G-2663-2013</t>
  </si>
  <si>
    <t>Negri, Andrew/0000-0003-1388-7395; Webster, Nicole/0000-0002-4753-5278; Battershill, Christopher/0000-0002-5586-0417</t>
  </si>
  <si>
    <t>10.1016/j.marpolbul.2004.03.004</t>
  </si>
  <si>
    <t>WOS:000222230300026</t>
  </si>
  <si>
    <t>Mikhalevich, VI</t>
  </si>
  <si>
    <t>The general aspects of the distribution of Antarctic foraminifera</t>
  </si>
  <si>
    <t>MICROPALEONTOLOGY</t>
  </si>
  <si>
    <t>BENTHIC FORAMINIFERA; WEDDELL SEA; MCMURDO SOUND; ECOLOGY; COVE</t>
  </si>
  <si>
    <t>Benthic foraminifers collected in different regions of the high Antarctic (Weddell Sea, Mawson Sea, Davis Sea and some other locations in East Antarctic) on the shelf and upper part of the bathyal zone (2 - 2315m) were analyzed to determine regularities in their distribution. Most samples contained living organisms. The composition of the foraminiferal assemblages is influenced by many factors of water characteristics such as temperature, salinity, nutrient composition, availability of carbonate and variations in CCD, presence of near-bottom flows. The changes of water masses at different depths or mixing of the different water masses are clearly seen in the changes of the foraminiferal species composition. In some cases the local variations of water characteristics, seasonality and ice melting are also responsible for the foraminiferal distribution. Two faunas were identified: those of the shelf associated with the cold-water masses (-1degrees to 1.9degrees) and the upper slope with warmer water (-0.5degrees), the majority of the characteristic forms being circumantarctic. Species abundance displays two maximums at depths of 180-300m and 1500-2300m. At depths to 500, and even to 700m, both arenaceous and calcareous forms, especially miliolids, are abundant. Below this boundary some living calcareous forms were also found, though arenaccous ones were dominant. The presence of calcareous foraminifers at the majority of the stations in our material may be explained by the higher resistance of living calcareous forms to carbonate dissolution comparing the empty tests, dissolving more rapidly. The overall pattern of these our data and of data from previous studies allows to draw some general conclusions with regard to the Antarctic foraminiferal fauna: a high degree of endemism which, for the shelf depths of 2 - 50m, sometimes reaches 80%; the gigantism of many species; a wide range of vertical distribution of many species; introduction of deep water species of other oceans onto the shelf and the upper part of the bathyal zone; often high species diversity and high quantity abundance of many species in the community; abundance of circumantarctic species, often with a great number of species belonging to a single genus; the abundance (often predominance) of agglutinated forms compared to calcareous ones. Some taxonomic notes and morphological observations are given, as well as comparisons of some closely related Arctic and Antarctic forms.</t>
  </si>
  <si>
    <t>Russian Acad Sci, Inst Zool, St Petersburg 199034, Russia</t>
  </si>
  <si>
    <t>Russian Academy of Sciences; Zoological Institute of the Russian Academy of Sciences</t>
  </si>
  <si>
    <t>Russian Acad Sci, Inst Zool, 1 Universitetskaya Emb, St Petersburg 199034, Russia.</t>
  </si>
  <si>
    <t>Mikha@JS1238.spb.edu</t>
  </si>
  <si>
    <t>MICRO PRESS</t>
  </si>
  <si>
    <t>FLUSHING</t>
  </si>
  <si>
    <t>6530 KISSENA BLVD, FLUSHING, NY 11367 USA</t>
  </si>
  <si>
    <t>0026-2803</t>
  </si>
  <si>
    <t>1937-2795</t>
  </si>
  <si>
    <t>Micropaleontology</t>
  </si>
  <si>
    <t>SUM</t>
  </si>
  <si>
    <t>10.1661/0026-2803(2004)050[0179:MOEOTI]2.0.CO;2</t>
  </si>
  <si>
    <t>858MU</t>
  </si>
  <si>
    <t>WOS:000224196700003</t>
  </si>
  <si>
    <t>Chiminello, F; Ceccato, D; Mittner, P</t>
  </si>
  <si>
    <t>Micro-PIXE study of tropospheric aerosols in an Antarctic coastal environment</t>
  </si>
  <si>
    <t>16th International Conference on Ion Beam Analysis</t>
  </si>
  <si>
    <t>JUN 29-JUL 04, 2003</t>
  </si>
  <si>
    <t>Albuquerque, NM</t>
  </si>
  <si>
    <t>micro-PlXE; Antarctica; single particle; aerosol</t>
  </si>
  <si>
    <t>BAY ANTARCTICA; DISTRIBUTIONS; PARTICLES; FACILITY</t>
  </si>
  <si>
    <t>Two thousands aerosol particles belonging to three size-segregated samples of (coarse fraction) Antarctic tropospheric aerosol were analyzed by micro-PIXE. Elemental composition data were submitted to Principal Component Analysis, and three principal components (PC) were determined. These PCs were (geochemically) identified by means of their elemental profile and of their correlations with elements as: sea-salt, crustal and a (unexpected) P + Ca component.. possibly originated by ornithogenic cryosols. Micro-PIXE proved to be a useful tool in the study of the above aerosols. Work is being undertaken to extend the study to a wider aerosol size range. (C) 2004 Elsevier B.V. All rights reserved.</t>
  </si>
  <si>
    <t>Univ Padua, Dipartimento Fis G Galilei, I-35100 Padua, Italy</t>
  </si>
  <si>
    <t>University of Padua</t>
  </si>
  <si>
    <t>Univ Padua, Dipartimento Fis G Galilei, Via Marzolo 8, I-35100 Padua, Italy.</t>
  </si>
  <si>
    <t>ceccato@lnl.infti.it</t>
  </si>
  <si>
    <t>10.1016/j.nimb.2004.01.048</t>
  </si>
  <si>
    <t>827JO</t>
  </si>
  <si>
    <t>WOS:000221895800033</t>
  </si>
  <si>
    <t>Schlensog, M; Pannewitz, S; Green, TGA; Schroeter, B</t>
  </si>
  <si>
    <t>Metabolic recovery of continental antarctic cryptogams after winter</t>
  </si>
  <si>
    <t>LICHEN-DOMINATED SYSTEMS; CARBON-DIOXIDE EXCHANGE; CHLOROPHYLL FLUORESCENCE; DESICCATION TOLERANCE; PHYSIOLOGICAL-ASPECTS; PHOTOSYNTHETIC ACTIVITY; ANOMODON-VITICULOSUS; ALECTORIA-OCHROLEUCA; SEASONAL-VARIATION; CO-2 EXCHANGE</t>
  </si>
  <si>
    <t>The activation of metabolism after the winter period was investigated in several mosses and lichens in continental Antarctica. Thalli that were still in their over-wintering inactive state in early spring were sprayed artificially and the time-dependent activation of photosystem II (PSII), carbon fixation and respiration was determined using gas exchange and chlorophyll a fluorescence techniques. The investigated lichens recovered PSII activity almost completely within the first few minutes and gross photosynthesis was fully reactivated within a few hours. In contrast, photosynthesis took much longer to recover in mosses, which could indicate a general difference between the green-algal symbionts in lichens and moss chloroplasts. Only small and quickly reversible increased rates of respiration were observed for the foliose lichen Umbilicaria aprina from a more xeric habitat. In contrast, species occurring near persistent meltwater, such as the moss Bryum subrotundifolium and the lichen Physcia caesia, had highly increased respiration rates that were maintained for several days after activation. Calculation of the carbon balances indicated that the activation pattern strongly dictated the length of time before a carbon gain was achieved. It appears that the differences in recovery reflect the water relations of the main growth period in summer.</t>
  </si>
  <si>
    <t>Univ Waikato, Hamilton, New Zealand; Univ Kiel, Inst Bot, D-24098 Kiel, Germany</t>
  </si>
  <si>
    <t>University of Waikato; University of Kiel</t>
  </si>
  <si>
    <t>Schlensog, M (corresponding author), Teichstr 4, D-48151 Munster, Germany.</t>
  </si>
  <si>
    <t>mschlensog@web.de</t>
  </si>
  <si>
    <t>SPRINGER-VERLAG</t>
  </si>
  <si>
    <t>175 FIFTH AVE, NEW YORK, NY 10010 USA</t>
  </si>
  <si>
    <t>10.1007/s00300-004-0606-4</t>
  </si>
  <si>
    <t>821FX</t>
  </si>
  <si>
    <t>WOS:000221446900003</t>
  </si>
  <si>
    <t>Macpherson, E</t>
  </si>
  <si>
    <t>A new species and new records of lithodid crabs (Crustacea: Decapoda: Lithodidae) from the Crozet and Kerguelen Islands area (Subantarctica)</t>
  </si>
  <si>
    <t>INDIAN-OCEAN; ANOMURA; MURRAYI; DIVERSITY; EVOLUTION; PACIFIC; ECOLOGY</t>
  </si>
  <si>
    <t>Four species of lithodid crabs from waters (240-2,005 m) in the Crozet and Kerguelen Islands area were studied. One new species, Neolithodes duhameli, is described. Three other species, N. capensis Stebbing, Paralomis anamerae Macpherson and P. birsteini Macpherson are reported for the first time from these localities. The new species, N. duhameli (620-1,500 m), is the fourth representative of the genus in Subantarctic waters and belongs to the group of species possessing a carapace, chelipeds and walking legs covered with numerous spinules or spiniform granules in addition to spines. However, the new species is distinguishable from others in the genus by the long, strong spines on the carapace and pereiopods. The finding of two species of Paralomis clearly extends their geographic ranges in the Southern Ocean: P. anamerae was previously known only in waters of the Falkland Islands and the circumpolar distribution of P. birsteini is supported. The observation of N. capensis also extends its previously described range from South Africa, in the Cape region, to Subantarctic waters. As a result of this study, 14 species of the family Lithodidae are now known from Antarctic and Subantarctic waters; and most can be considered endemic to these waters.</t>
  </si>
  <si>
    <t>CSIC, Ctr Estudios Avanzados Blanes, Blanes 17300, Girona, Spain</t>
  </si>
  <si>
    <t>Consejo Superior de Investigaciones Cientificas (CSIC); CSIC - Centre d'Estudis Avancats de Blanes (CEAB)</t>
  </si>
  <si>
    <t>Macpherson, E (corresponding author), CSIC, Ctr Estudios Avanzados Blanes, Cacc Cala San Francesc 14, Blanes 17300, Girona, Spain.</t>
  </si>
  <si>
    <t>macpherson@ceab.csic.es</t>
  </si>
  <si>
    <t>10.1007/s00300-004-0609-1</t>
  </si>
  <si>
    <t>WOS:000221446900005</t>
  </si>
  <si>
    <t>Field, IC; Bradshaw, CJA; Burton, HR; Hindell, MA</t>
  </si>
  <si>
    <t>Seasonal use of oceanographic and fisheries management zones by juvenile southern elephant seals (Mirounga leonina) from Macquarie Island</t>
  </si>
  <si>
    <t>KING-GEORGE ISLAND; FORAGING ECOLOGY; CEPHALOPOD DIET; ANTARCTIC KRILL; EAST ANTARCTICA; HEARD-ISLAND; OCEAN; PRODUCTIVITY; POPULATIONS; TILETAMINE</t>
  </si>
  <si>
    <t>The foraging distribution of marine predator populations is important for effective modelling and management of pelagic marine systems. We tracked 31 juvenile southern elephant seals from Macquarie Island (158degrees57'E, 54degrees30'S) over their annual post-moult and mid-year trips to sea. We calculated the amount of time spent in regional fisheries management areas and within bounded oceanographic regions. During the austral summer, juvenile seals spent over 90% of their time south of the Antarctic Polar Front and similar to80% within fisheries management regions [Commission for the Conservation of Antarctic Marine Living Resources (CCAMLR) and exclusive economic zones]. In winter, seals spent similar to75% of their time in the region bounded by the Antarctic Polar Front and the southern boundary of the Antarctic Circumpolar Current, and similar to60% within fisheries management regions. The time spent per region differed significantly between summer and winter. Our results demonstrate that juvenile southern elephant seals from Macquarie Island spent more time south of the Antarctic Polar Front and within fisheries management areas than previously suspected.</t>
  </si>
  <si>
    <t>Univ Tasmania, Sch Zool, Antarctic Wildlife Res Unit, Hobart, Tas 7001, Australia; Australian Antarctic Div, Kingston, Tas 7050, Australia</t>
  </si>
  <si>
    <t>Field, IC (corresponding author), Univ Tasmania, Sch Zool, Antarctic Wildlife Res Unit, Private Bag 05, Hobart, Tas 7001, Australia.</t>
  </si>
  <si>
    <t>icfield@utas.edu.au</t>
  </si>
  <si>
    <t>Bradshaw, Corey J. A./A-1311-2008; Hindell, Mark A/K-1131-2013; Hindell, Mark A/C-8368-2013; Field, Iain C/D-3934-2009</t>
  </si>
  <si>
    <t>Bradshaw, Corey J. A./0000-0002-5328-7741; Hindell, Mark/0000-0002-7823-7185</t>
  </si>
  <si>
    <t>10.1007/s00300-004-0615-3</t>
  </si>
  <si>
    <t>WOS:000221446900007</t>
  </si>
  <si>
    <t>Blazewicz-Paszkowycz, M; Sekulska-Nalewajko, J</t>
  </si>
  <si>
    <t>Tanaidacea (Crustacea, Malacostraca) of two polar fjords: Kongsfjorden (Arctic) and Admiralty Bay (Antarctic) (vol 27, pg 222, 2004)</t>
  </si>
  <si>
    <t>Univ Lodz, Dept Polar Biol &amp; Ocenabiol, PL-90131 Lodz, Poland</t>
  </si>
  <si>
    <t>Univ Lodz, Dept Polar Biol &amp; Ocenabiol, Banacha 12-16, PL-90131 Lodz, Poland.</t>
  </si>
  <si>
    <t>Sekulska-Nalewajko, Joanna/L-9551-2018</t>
  </si>
  <si>
    <t>Sekulska-Nalewajko, Joanna/0000-0001-6540-352X</t>
  </si>
  <si>
    <t>10.1007/s00300-004-0626-0</t>
  </si>
  <si>
    <t>WOS:000221446900009</t>
  </si>
  <si>
    <t>Matthee, CA; van Vuuren, BJ; Bell, D; Robinson, TJ</t>
  </si>
  <si>
    <t>A molecular supermatrix of the rabbits and hares (Leporidae) allows for the identification of five intercontinental exchanges during the Miocene</t>
  </si>
  <si>
    <t>SYSTEMATIC BIOLOGY</t>
  </si>
  <si>
    <t>Evolution; Lagomorpha; Mammalia; nuclear DNA; phylogeny; systematics</t>
  </si>
  <si>
    <t>CYTOCHROME-B PHYLOGENY; SITE RATE VARIATION; RIBOSOMAL-RNA GENE; DIVERGENCE TIME; FAMILY BOVIDAE; EMPIRICAL-DATA; 12S RDNA; MODEL; DNA; EVOLUTION</t>
  </si>
  <si>
    <t>The hares and rabbits belonging to the family Leporidae have a nearly worldwide distribution and approximately 72% of the genera have geographically restricted distributions. Despite several attempts using morphological, cytogenetic, and mitochondrial DNA evidence, a robust phylogeny for the Leporidae remains elusive. To provide phylogenetic resolution within this group, a molecular supermatrix was constructed for 27 taxa representing all 11 leporid genera. Five nuclear (SPTBN1, PRKCI, THY, TG, and MGF) and two mitochondrial (cytochrome b and 12S rRNA) gene fragments were analyzed singly and in combination using parsimony, maximum likelihood, and Bayesian inference. The analysis of each gene fragment separately as well as the combined mtDNA data almost invariably failed to provide strong statistical support for intergeneric relationships. In contrast, the combined nuclear DNA topology based on 3601 characters greatly increased phylogenetic resolution among leporid genera, as was evidenced by the number of topologies in the 95% confidence interval and the number of significantly supported nodes. The final molecular supermatrix contained 5483 genetic characters and analysis thereof consistently recovered the same topology across a range of six arbitrarily chosen model specifications. Twelve unique insertion-deletions were scored and all could be mapped to the tree to provide additional support without introducing any homoplasy. Dispersal-vicariance analyses suggest that the most parsimonious solution explaining the current geographic distribution of the group involves an Asian or North American origin for the Leporids followed by at least nine dispersals and five vicariance events. Of these dispersals, at least three intercontinental exchanges occurred between North America and Asia via the Bering Strait and an additional three independent dispersals into Africa could be identified. A relaxed Bayesian molecular clock applied to the seven loci used in this study indicated that most of the intercontinental exchanges occurred between 14 and 9 million years ago and this period is broadly coincidental with the onset of major Antarctic expansions causing land bridges to be exposed.</t>
  </si>
  <si>
    <t>Univ Stellenbosch, Dept Zool, Evolutionary Genom Grp, ZA-7602 Stellenbosch, South Africa; Univ E Anglia, Sch Biol Sci, Ctr Ecol Evolut &amp; Conservat, Norwich NR4 7TJ, Norfolk, England</t>
  </si>
  <si>
    <t>Stellenbosch University; University of East Anglia</t>
  </si>
  <si>
    <t>Univ Stellenbosch, Dept Zool, Evolutionary Genom Grp, ZA-7602 Stellenbosch, South Africa.</t>
  </si>
  <si>
    <t>cam@sun.ac.za</t>
  </si>
  <si>
    <t>Matthee, Conrad A./B-1620-2012; Bell, Diana J/D-3572-2009; Jansen van Vuuren, Bettine/E-6227-2013; Robinson, Terence J./K-7342-2017</t>
  </si>
  <si>
    <t>Matthee, Conrad A./0000-0002-6836-069X; Jansen van Vuuren, Bettine/0000-0002-5334-5358; Robinson, Terence J./0000-0002-4298-4891</t>
  </si>
  <si>
    <t>1063-5157</t>
  </si>
  <si>
    <t>1076-836X</t>
  </si>
  <si>
    <t>SYST BIOL</t>
  </si>
  <si>
    <t>Syst. Biol.</t>
  </si>
  <si>
    <t>10.1080/10635150490445715</t>
  </si>
  <si>
    <t>Evolutionary Biology</t>
  </si>
  <si>
    <t>833PR</t>
  </si>
  <si>
    <t>WOS:000222351000005</t>
  </si>
  <si>
    <t>Jordan, RW; Ligowski, R</t>
  </si>
  <si>
    <t>New observations on Proboscia auxospores and validation of the family Probosciaceae Fam. nov.</t>
  </si>
  <si>
    <t>VIE ET MILIEU-LIFE AND ENVIRONMENT</t>
  </si>
  <si>
    <t>auxospores; Proboscia alata; Proboscia indica; Probosciaceae</t>
  </si>
  <si>
    <t>RHIZOSOLENIA-STYLIFORMIS; DIATOMS; REPRODUCTION; SEDIMENTS</t>
  </si>
  <si>
    <t>The re-examination of old water samples from the Southern Ocean has revealed the presence of Proboscia alata auxospores in various stages of development. Whilst previous studies have reported that Proboscia auxospores possess multiple columns of copulae, it is proposed here that they are actually scales, as they differ from the copulae of the developing initial cell inside the auxospore. The initial cell bears all the features characteristic of the vegetative cell, although some crease-like ridges have been observed running longitudinally along the proboscis of the initial valve. The diameter of the initial cell (40.0-45.0 mum) is generally 3-4 times that of the gametangial cell (16.3-17.6 mum). These dimensions suggest that we are dealing with a large form of P. alata. Somewhat bizarrely, the auxospores from the Southern Ocean are occasionally bifurcate at the opposite end to the gametangial cell. It has been shown here that the bifurcation represents two well-developed probosces (with crease-like features similar to those on the initial valve), each bearing a ring of spinulae and a longitudinal slit. However, there are no claspers and the probosces do not appear to be joined to a valve, i.e. there is no apparent distinction between valve and auxospore wall. Why some auxospores produce a bifurcate end rather than an initial cell is not known at present. One specimen from the Sulu Sea appears to be an auxospore of Proboscia indica due to its large size (almost 100 mum in diameter). Given the confusion surrounding the identification of this taxon, we have reviewed the literature and provided a more detailed species description. Proboscia indica exhibits a number of characters that together may be used to distinguish it from P. alata and related taxa: its frustule and valve dimensions are greater than other species, like P. alata the chain arrangement is asymmetric due to the possession of displaced claspers, the long proboscis is more strongly sloped than P. alata, each interlocular pore is surrounded by four not six loculi, the auxospore does not develop a bifurcate end, and it occurs in tropical to temperate seas not polar waters. Lastly, the family Probosciaceae is re-erected here as a new taxon, accompanied with a Latin diagnosis in accordance with the rules of botanical nomenclature.</t>
  </si>
  <si>
    <t>Yamagata Univ, Fac Sci, Dept Earth &amp; Environm Sci, Yamagata 9908560, Japan; Univ Lodz, Inst Environm Biol, Dept Invertebrate Zool &amp; Hydrobiol, Lab Polar Biol, PL-90237 Lodz, Poland; Polish Acad Sci, Dept Antarctic Biol, PL-01141 Warsaw, Poland</t>
  </si>
  <si>
    <t>Yamagata University; University of Lodz; Polish Academy of Sciences</t>
  </si>
  <si>
    <t>Jordan, RW (corresponding author), Yamagata Univ, Fac Sci, Dept Earth &amp; Environm Sci, Yamagata 9908560, Japan.</t>
  </si>
  <si>
    <t>sh08l@kdw.kj.yamagata-u.ac.jp</t>
  </si>
  <si>
    <t>Jordan, Richard/0000-0002-8997-7349</t>
  </si>
  <si>
    <t>OBSERVATOIRE OCEANOLOGIQUE BANYULS</t>
  </si>
  <si>
    <t>BANYULS-SUR-MER CEDEX</t>
  </si>
  <si>
    <t>LABORATOIRE ARAGO, BP 44, 66651 BANYULS-SUR-MER CEDEX, FRANCE</t>
  </si>
  <si>
    <t>0240-8759</t>
  </si>
  <si>
    <t>VIE MILIEU</t>
  </si>
  <si>
    <t>Vie Milieu</t>
  </si>
  <si>
    <t>JUN-SEP</t>
  </si>
  <si>
    <t>865CS</t>
  </si>
  <si>
    <t>WOS:000224680700004</t>
  </si>
  <si>
    <t>von Quillfeldt, CH</t>
  </si>
  <si>
    <t>The diatom Fragilariopsis cylindrus and its potential as an indicator species for cold water rather than for sea ice</t>
  </si>
  <si>
    <t>Fragilariopsis cylindrus; diatom; indicator; phytoplankton; sea ice; cold water; Arctic; Antarctica</t>
  </si>
  <si>
    <t>ANTARCTIC PACK ICE; WEDDELL SEA; EDGE ZONE; PHYTOPLANKTON BIOMASS; MARINE-PHYTOPLANKTON; EASTERN ANTARCTICA; COLUMN ASSEMBLAGES; ALGAL ASSEMBLAGES; STANDING STOCK; ARCTIC CANADA</t>
  </si>
  <si>
    <t>The importance of the diatom Fragilariopsis cylindrus (Grunow) Krieger in Helmcke &amp; Krieger in the Arctic and Antarctic is well known. It is used as an indicator of sea ice when the paleoenvironment is being described. It is often among the dominant taxa in different sea ice communities, sometimes making an important contribution to a subsequent phytoplankton growth when released by ice melt. However, it may also dominate phytoplankton blooms in areas never experiencing sea ice. The use of F. cylindrus as an indicator for reconstruction of palaeoceanographic conditions is assessed from literature records. Its potential as an indicator species for sea ice appears to vary from region to region, but it is a good indicator of cold water.</t>
  </si>
  <si>
    <t>Norwegian Polar Res Inst, Polar Environm Ctr, N-9296 Tromso, Norway</t>
  </si>
  <si>
    <t>von Quillfeldt, CH (corresponding author), Norwegian Polar Res Inst, Polar Environm Ctr, N-9296 Tromso, Norway.</t>
  </si>
  <si>
    <t>cecilie.quillfeldt@npolar.no</t>
  </si>
  <si>
    <t>WOS:000224680700008</t>
  </si>
  <si>
    <t>Trathan, PN</t>
  </si>
  <si>
    <t>Image analysis of color aerial photography to estimate penguin population size</t>
  </si>
  <si>
    <t>WILDLIFE SOCIETY BULLETIN</t>
  </si>
  <si>
    <t>aerial photography; image analysis; penguin population estimate; South Georgia</t>
  </si>
  <si>
    <t>MACARONI PENGUINS; SOUTH GEORGIA; EUDYPTES-CHRYSOLOPHUS; ISLAND; SEALS; FOOD</t>
  </si>
  <si>
    <t>Penguin populations are potentially sensitive indicators of ecological change in Antarctic and sub-Antarctic marine ecosystems. Aerial photographic surveys provide the most robust method for estimating breeding population size, particularly for large colonies. Obtaining population estimates from aerial photographs is laborious and usually carried out by manually counting individual birds on highly magnified prints. I derived population estimates using computer-based image analysis of digitally scanned color aerial photographs of macaroni penguin (Eudyptes chrysolophus) colonies at Bird Island, South Georgia. I compared automated image analysis with manual counts from the photographic prints and conventional ground counts, highlighting assumptions that contributed to differences in population estimates. The automated image-analysis routines produced estimates that were highly correlated with ground counts, indicating that the technique could be reliably used for large-scale macaroni penguin population surveys.</t>
  </si>
  <si>
    <t>British Antarctic Survey, Div Biol Sci, Cambridge CB3 0ET, England</t>
  </si>
  <si>
    <t>Trathan, PN (corresponding author), British Antarctic Survey, Div Biol Sci, High Cross,Madingley Rd, Cambridge CB3 0ET, England.</t>
  </si>
  <si>
    <t>p.trathan@bas.ac.uk</t>
  </si>
  <si>
    <t>WILDLIFE SOC</t>
  </si>
  <si>
    <t>5410 GROSVENOR LANE, BETHESDA, MD 20814-2197 USA</t>
  </si>
  <si>
    <t>0091-7648</t>
  </si>
  <si>
    <t>WILDLIFE SOC B</t>
  </si>
  <si>
    <t>Wildl. Soc. Bull.</t>
  </si>
  <si>
    <t>10.2193/0091-7648(2004)32[332:IAOCAP]2.0.CO;2</t>
  </si>
  <si>
    <t>Biodiversity Conservation</t>
  </si>
  <si>
    <t>Biodiversity &amp; Conservation</t>
  </si>
  <si>
    <t>838GP</t>
  </si>
  <si>
    <t>WOS:000222701800004</t>
  </si>
  <si>
    <t>Pavlova, K; Koleva, L; Kratchanova, M; Panchev, I</t>
  </si>
  <si>
    <t>Production and characterization of an exopolysaccharide by yeast</t>
  </si>
  <si>
    <t>WORLD JOURNAL OF MICROBIOLOGY &amp; BIOTECHNOLOGY</t>
  </si>
  <si>
    <t>Antarctic yeasts; biosynthesis; exopolysaccharides; mannan; Sporobolomyces salmonicolor AL(1)</t>
  </si>
  <si>
    <t>RHODOTORULA-ACHENIORUM MC; MICROBIAL POLYSACCHARIDES; EXTRACELLULAR PRODUCT; CANDIDA-UTILIS; CRYPTOCOCCUS; GLUCOMANNAN</t>
  </si>
  <si>
    <t>Antarctic yeast strains were investigated for exopolysaccharide biosynthesis and the Sporobolomyces salmonicolor AL(1) strain was selected. It was studied for exopolysaccharide biosynthesis on different carbon and nitrogen sources. The investigations showed that sucrose and ammonium sulphate were suitable culture medium components for polymer biosynthesis. Exopolysaccharide formation by the yeast strain was accompanied by a decrease in the culture medium pH value from the initial pH 5.3 to pH 1.7-2.0. During the biosynthetic process, the dynamic viscosity of the culture broth increased to the maximum value of 15.37 mPa s and the polysaccharide yield reached 5.63 g/l on a culture medium containing 5.00% sucrose and 0.25% ammonium sulphate at a temperature of 22degreesC for 120 h. The crude polysaccharide obtained from Sp. salmonicolor AL(1) featured high purity (90.16% of carbon content) and consisted of glucose (54.1%), mannose (42.6%) and fucose (3.3%). Pure mannan containing 98.6% of mannose was isolated from it.</t>
  </si>
  <si>
    <t>Bulgarian Acad Sci, Inst Microbiol, Appl Microbiol Lab, Plovdiv 4002, Bulgaria; Univ Food Technol, Plovdiv 4002, Bulgaria; Bulgarian Acad Sci, Ctr Phytochem, Inst Organ Chem, Plovdiv 4002, Bulgaria</t>
  </si>
  <si>
    <t>Agricultural Academy - Bulgaria; Bulgarian Academy of Sciences; University of Food Technology - Bulgaria; Bulgarian Academy of Sciences</t>
  </si>
  <si>
    <t>Bulgarian Acad Sci, Inst Microbiol, Appl Microbiol Lab, 26 Maritza Blvd, Plovdiv 4002, Bulgaria.</t>
  </si>
  <si>
    <t>lbpmbas@plov.omega.bg</t>
  </si>
  <si>
    <t>0959-3993</t>
  </si>
  <si>
    <t>1573-0972</t>
  </si>
  <si>
    <t>WORLD J MICROB BIOT</t>
  </si>
  <si>
    <t>World J. Microbiol. Biotechnol.</t>
  </si>
  <si>
    <t>10.1023/B:WIBI.0000033068.45655.2a</t>
  </si>
  <si>
    <t>Biotechnology &amp; Applied Microbiology</t>
  </si>
  <si>
    <t>832KA</t>
  </si>
  <si>
    <t>WOS:000222265200016</t>
  </si>
  <si>
    <t>Willems, WR; Artois, TJ; Vermin, WA; Schockaert, ER</t>
  </si>
  <si>
    <t>Revision of Trigonostomum Schmidt, 1852 (Platyhelminthes, Typhloplanoida, Trigonostomidae) with the description of seven new species</t>
  </si>
  <si>
    <t>identification key; morphology; phylogenetic nomenclature; taxonomy; Trigonostominae</t>
  </si>
  <si>
    <t>COMPLEX PLATYHELMINTHES; RHABDOCOELA PLATYHELMINTHES; KALYPTORHYNCHIA</t>
  </si>
  <si>
    <t>A morphological and taxonomic account of the genus Trigonostomum is provided. All known species are discussed and briefly re-described where necessary. Seven new species are described: T franki from Curacao, Florida (USA), the East African Coast and New Caledonia, T nataschae from the French sub-Antarctic island Kerguelen, T. spinigerum from New Caledonia and T watsoni from the Australian East Coast and New Caledonia. T tori and T. galapagoensis, both formerly enclosed in T setigerum, are considered new species, while T australis also belongs to the same species group. Proxenetes denhartogi is transferred to Trigonostomum. Based on a comparison of old and new material, T marki is synonymized with T penicillatum, while T prytherchi and T divae are regarded as junior synonyms of T lilliei; T intermedium and T quadrifolium are considered synonyms of T coronatum. Three species are considered species inquirendae: T brunchorsti, T piriforme and Marinellia lingulifera. Similarities and differences of the 17 valid species are discussed and summarized in an identification key. (C) 2004 The Linnean Society of London.</t>
  </si>
  <si>
    <t>Limburgs Univ Ctr, Dept SBG, Ctr Environm Sci, Res Grp Biodivers Phylogeny &amp; Populat Studies, B-3590 Diepenbeek, Belgium</t>
  </si>
  <si>
    <t>Hasselt University</t>
  </si>
  <si>
    <t>Limburgs Univ Ctr, Dept SBG, Ctr Environm Sci, Res Grp Biodivers Phylogeny &amp; Populat Studies, Univ Campus, B-3590 Diepenbeek, Belgium.</t>
  </si>
  <si>
    <t>wim.willems@luc.ac.be</t>
  </si>
  <si>
    <t>Artois, Tom/O-7349-2017</t>
  </si>
  <si>
    <t>Artois, Tom/0000-0002-2491-7273</t>
  </si>
  <si>
    <t>10.1111/j.1096-3642.2004.00124.x</t>
  </si>
  <si>
    <t>830ZB</t>
  </si>
  <si>
    <t>WOS:000222161600005</t>
  </si>
  <si>
    <t>Compton, JS; Wigley, R; McMillan, IK</t>
  </si>
  <si>
    <t>Late Cenozoic phosphogenesis on the western shelf of South Africa in the vicinity of the Cape Canyon</t>
  </si>
  <si>
    <t>phosphorite; strontium isotopes; sea level; Cape Canyon; miocene; continental shelf</t>
  </si>
  <si>
    <t>STRONTIUM-ISOTOPE STRATIGRAPHY; CONTINENTAL-MARGIN; SOUTHWESTERN AFRICA; DELTA-C-13 EXCURSIONS; SEA-LEVEL; PHOSPHORITES; ORIGIN; AGE; SEAWATER; NEOGENE</t>
  </si>
  <si>
    <t>The strontium isotope (Sr-87/Sr-86) composition of phosphorite (carbonate fluorapatite) cemented grains (PCG), phosphate-cemented limestone (PCL), skeletal phosphorite grains (SPG) and biogenic calcite (mollusc shell, benthic foraminifera and echinoid spines) from sediment on the outer continental shelf in the vicinity of the Cape Canyon ranges from 0.707981 to 0.709167 and corresponds to an age range of late early Oligocene to late Pleistocene. Most biogenic carbonate Sr ages agree with biostratigraphic ages, but some samples contain significantly older and reworked robust (&gt;250 mum) benthic foraminifera. Although the Sr ages of biogenic and phosphorite grains indicate that sedimentation was fairly continuous, most sediment is reworked with only lower Miocene, upper Pliocene and upper Pleistocene successions generally preserved in the study area. The initial phosphogenic episode from the latest Oligocene to early early Miocene (21-26 Ma) was the largest, with additional phosphogenic episodes in the late early Miocene (16-19 Ma) and middle Miocene (10-15 Ma). Most phosphorite occurs as PCG that formed during marine transgressions and highstands from the late Oligocene warming event until the mid-Miocene climatic optimum, a period of episodic Antarctic glaciation and several positive marine delta(13)C excursions. Upper Oligocene to lower Miocene PCG have been extensively reworked and are associated with major erosional unconformities. PCG vary from peloidal sands to gravel mollusc moulds and contain variable amounts of quartz, glauconite and pyrite inclusions. PCL formed from 9 to 17 Ma by cementation and replacement of older calcareous sediment during the middle to late Miocene marine regression. Phosphorite, as well as associated glauconite and pyrite, indicate that periods of rapid accumulation of organic-rich, terrigenous muds derived from the focusing of the suspended load of rivers and organic matter produced in areas of coastal upwelling have occurred episodically on the margin since the late Oligocene. The relative paucity of phosphorite younger than the middle Miocene may result from frequent erosional events as documented by pronounced unconformities on the shelf that reflect lowered eustatic sea level, tectonic uplift and high-frequency, high-amplitude Quaternary sea-level fluctuations. (C) 2004 Elsevier B.V. All rights reserved.</t>
  </si>
  <si>
    <t>Univ Cape Town, Dept Geol Sci, ZA-7701 Rondebosch, South Africa; De Beers Marine Pty Ltd, ZA-8001 Cape Town, South Africa</t>
  </si>
  <si>
    <t>University of Cape Town</t>
  </si>
  <si>
    <t>Compton, JS (corresponding author), Univ Cape Town, Dept Geol Sci, ZA-7701 Rondebosch, South Africa.</t>
  </si>
  <si>
    <t>compton@geology.uct.ac.za</t>
  </si>
  <si>
    <t>Compton, John S/E-1767-2013</t>
  </si>
  <si>
    <t>Wigley, Rochelle/0000-0003-2792-5663</t>
  </si>
  <si>
    <t>MAY 31</t>
  </si>
  <si>
    <t>10.1016/j.margeo.2004.02.004</t>
  </si>
  <si>
    <t>832HK</t>
  </si>
  <si>
    <t>WOS:000222257900002</t>
  </si>
  <si>
    <t>Simstich, J; Stanovoy, V; Bauch, D; Erlenkeuser, H; Spielhagen, RF</t>
  </si>
  <si>
    <t>Holocene variability of bottom water hydrography on the Kara Sea shelf (Siberia) depicted in multiple single-valve analyses of stable isotopes in ostracods</t>
  </si>
  <si>
    <t>Kara Sea; ostracoda; stable isotopes; annual variations; bottom water; holocene</t>
  </si>
  <si>
    <t>NORTHERN BARENTS; RIVER-DISCHARGE; CARBON ISOTOPES; FRESH-WATER; FORAMINIFERA; ICE; CIRCULATION; GLACIATION; DYNAMICS; CALCITE</t>
  </si>
  <si>
    <t>Ostracods secrete their valve calcite within a few hours or days, therefore, its isotopic composition records ambient environmental conditions of only a short time span. Hydrographic changes between the calcification of individuals lead to a corresponding range (max.-min.) in the isotope values when measuring several (less than or equal to5) single valves from a specific sediment sample. Analyses of living (stained) ostracods from the Kara Sea sediment surface revealed high ranges of &gt;2parts per thousand of delta(18)O and delta(13)C at low absolute levels (delta(18)O: &lt;3parts per thousand delta(13)C: &lt; - 3parts per thousand) near the river estuaries of Ob and Yenisei and low ranges of similar to 1parts per thousand at higher absolute levels (delta(18)O: 2-5.4parts per thousand delta(13)C: - 3parts per thousand to - 1.5parts per thousand) on the shelf and in submarine paleo-river channels. Comparison with a hydrographic data base and isotope measurements of bottom water samples shows that the average and the span of the ostracod-based isotope ranges closely mirror the long-term means and variabilities (standard deviation) of bottom water temperature and salinity. The bottom hydrography in the southern part of the Kara Sea shows strong response to the river discharge and its extreme seasonal and interannual variability. Less variable hydrographic conditions are indicative for deeper shelf areas to the north, but also for areas near the river estuaries along submarine paleo-river channels, which act as corridors for southward flowing cold and saline bottom water. Isotope analyses on up to five single ostracod valves per sample in the lower section (8-7 cal. ka BP) of a sediment core north of Yenisei estuary revealed delta(18)O and delta(13)C values which on average are lower by 0.6parts per thousand in both, delta(18)O and delta(13)C, than in the upper core section ( &lt; 5 cal. ka BP). The isotope shifts illustrate the decreasing influence of isotopically light river water at the bottom as a result of the southward retreat of the Yenisei river mouth from the coring site due to global sea level rise. However, the ranges (max. -min.) in the single-valve delta(18)O and delta(13)C data of the individual core samples are similar in the upper and in the lower core section, although a higher hydrographic variability is expected prior to 7 cal. ka BP due to river proximity. This lack of variability indicates the southward flow of cold, saline water along a submarine paleo-river channel, formerly existing at the core location. Despite shallowing of the site due to sediment filling of the channel and isostatic uplift of the area, the hydrographic variability at the core location remained low during the Late Holocene, because the shallowing proceeded synchronously with the retreat of the river mouth due to the global sea level rise. (C) 2004 Elsevier B.V. All rights reserved.</t>
  </si>
  <si>
    <t>Univ Kiel, Leibniz Inst Marine Sci, D-24148 Kiel, Germany; Arctic &amp; Antarctic Res Inst, St Petersburg 199397, Russia; Univ Kiel, Leibniz Labor Radiometr Dating &amp; Stable Isotope R, D-24118 Kiel, Germany; Mainz Acad Sci &amp; Literature, Mainz, Germany</t>
  </si>
  <si>
    <t>Helmholtz Association; GEOMAR Helmholtz Center for Ocean Research Kiel; University of Kiel; Arctic &amp; Antarctic Research Institute; University of Kiel</t>
  </si>
  <si>
    <t>Univ Cambridge, Dept Earth Sci, Downing St, Cambridge CB2 3EQ, England.</t>
  </si>
  <si>
    <t>jsim.3@esc.cam.ac.uk</t>
  </si>
  <si>
    <t>Spielhagen, Robert F./HMD-2002-2023</t>
  </si>
  <si>
    <t>Bauch, Dorothea/0000-0002-1419-9714</t>
  </si>
  <si>
    <t>10.1016/j.margeo.2004.01.008</t>
  </si>
  <si>
    <t>WOS:000222257900008</t>
  </si>
  <si>
    <t>Galindo-Zaldívar, J; Gamboa, L; Maldonado, A; Nakao, S; Bochu, Y</t>
  </si>
  <si>
    <t>Tectonic development of the Bransfield Basin and its prolongation to the South Scotia Ridge, Northern Antarctic Peninsula</t>
  </si>
  <si>
    <t>Bransfield Basin; continental blocks; Backarc Basin; transcurrent faults; roll-back</t>
  </si>
  <si>
    <t>PLATE BOUNDARY; DRAKE PASSAGE; EVOLUTION; ARC; ISLANDS; MARGIN; RIFT</t>
  </si>
  <si>
    <t>The Bransfield Basin is located off the northern tip of the Antarctic Peninsula. The analysis of multichannel seismic reflection profiles allows the shallow structure of the Bransfield Basin and its eastwards prolongation through the Scotia Sea to be imaged. The Bransfield Basin is asymmetrical, with most of the sediment input coming from the passive Antarctic Peninsula margin, which is deformed by normal faults generally dipping less than 45degrees northwestwards. Much less sediment comes from the conjugate South Shetland Islands margin, which is dominated by high-angle normal faults, generally dipping between 45degrees and 60degrees, constituting the inner boundary of the South Shetland Block tectonic horst. The detachment and moving apart of the South Shetland Block from the Antarctic Peninsula led to the opening of the Bransfield Basin, where incipient oceanic spreading has been reported previously. The South Shetland Block outer boundary to the northwest is made of the South Shetland Trench, which to the east passes into the sinistral transpressive Scotia-Antarctic plate boundary marked by the prominent South Scotia Ridge. Following cessation of spreading in the Phoenix-Antarctic Ridge northwest of the South Shetland Block during middle Pliocene, roll-back played a major role in the development of the Bransfield Basin, with maximum extension in the Central subbasin. In addition, the Eastern Bransfield Basin accommodates most of the sinistral transtensional deformation along the South Scotia Ridge. Normal and reverse faults were simultaneously active along the inner and outer boundaries, respectively, of the continental crust fragment constituting the South Shetland Block. The development of the Bransfield Basin offers a good example of the tectonic processes involved in continental fragmentation associated with backarc basin development. (C) 2004 Elsevier B.V. All rights reserved.</t>
  </si>
  <si>
    <t>Univ Granada, Dept Geodinam, E-18071 Granada, Spain; Petr Brasileiro SA, Rio De Janeiro, Brazil; Univ Granada, CSIC, Inst Andaluz Ciencias Tierra, E-18071 Granada, Spain; Guangzhou Marine Geol Survey, Guangzhou, Peoples R China</t>
  </si>
  <si>
    <t>University of Granada; Petrobras; Consejo Superior de Investigaciones Cientificas (CSIC); CSIC - Instituto Andaluz de Ciencias de la Tierra (IACT); University of Granada; China Geological Survey; Guangzhou Marine Geological Survey</t>
  </si>
  <si>
    <t>Univ Granada, Dept Geodinam, Campus Fuenteneuva S-N, E-18071 Granada, Spain.</t>
  </si>
  <si>
    <t>jgalindo@ugr.es</t>
  </si>
  <si>
    <t>Vuan, Alessandro/B-7115-2014; Gamboa, Luiz/AAL-5904-2021; Galindo-Zaldivar, Jesus/K-3640-2012</t>
  </si>
  <si>
    <t>Galindo-Zaldivar, Jesus/0000-0002-3493-2637</t>
  </si>
  <si>
    <t>10.1016/j.margeo.2004.02.007</t>
  </si>
  <si>
    <t>WOS:000222257900014</t>
  </si>
  <si>
    <t>Holbourn, A; Kuhnt, W; Simo, JA; Li, QY</t>
  </si>
  <si>
    <t>Middle miocene isotope stratigraphy and paleoceanographic evolution of the northwest and southwest Australian margins (Wombat Plateau and Great Australian Bight)</t>
  </si>
  <si>
    <t>middle miocene; stable isotopes; Great Australian Bight; Indian Ocean benthic foraminifers; paleoceanography; ODP leg 182; ODP leg 122</t>
  </si>
  <si>
    <t>DEEP-OCEAN CIRCULATION; BENTHIC FORAMINIFERA; PACIFIC; OXYGEN; TRANSITION; LIMESTONE; MODEL</t>
  </si>
  <si>
    <t>The benthic stable isotope record from ODP Site 761 (Wombat Plateau, NW Australia, 2179.3 in water depth) documents complete recovery of the middle Miocene delta(13)C excursion corresponding to the climatic optimum and subsequent expansion of the East Antarctic Ice Sheet. The six main delta(13)C maxima of,the Monterey Excursion between 16.4 and 13.6 Ma and the characteristic stepped increase in delta(18)O between 14.5 and 13.9 Ma are clearly identified. The sedimentary record of the shallower ODP Sites 1126 and 1134 [Great Australian Bight (GAB), SW Australia, 783.8 and 701 in water depth, respectively] is truncated by several unconformities. However, a composite benthic stable isotope curve for these sites provides a first middle Miocene bathyal record for southwest Australia. The delta(18)O and delta(13)C curves for Sites 1126 and 1134 indicate a cooler, better-ventilated water mass at similar to 700 m water depth in the Great Australian Bight since approximately 16 Ma. This cooler and younger water mass probably originated from a close southern Source. Cooling of the bottom water at similar to 16 Ma started much earlier than at other sites of equivalent paleodepths in the central and Western parts of the Indian Ocean. At Site 761, the delta(18)O curve shows an excellent match with the global sea level curve between similar to 11.5 and 15.1 Ma, and thus closely reflects changes in global ice volume. Prior to 15.1 Ma, the mismatch between the delta(18)O curve and the sea level curve indicates that delta(18)O fluctuations are mainly due to changes in bottom water temperature. (C) 2004 Elsevier B.V. All rights reserved.</t>
  </si>
  <si>
    <t>Univ Kiel, Inst Geowissensch, D-24118 Kiel, Germany; Univ Wisconsin, Dept Geol &amp; Geophys, Madison, WI 53706 USA; Univ Adelaide, Dept Geol &amp; Geophys, Adelaide, SA 5005, Australia</t>
  </si>
  <si>
    <t>University of Kiel; University of Wisconsin System; University of Wisconsin Madison; University of Adelaide</t>
  </si>
  <si>
    <t>Holbourn, A (corresponding author), Univ Kiel, Inst Geowissensch, Olshaussenstr 40-60, D-24118 Kiel, Germany.</t>
  </si>
  <si>
    <t>ah@gpi.uni-kiel.de</t>
  </si>
  <si>
    <t>Holbourn, Ann/0000-0002-3167-0862</t>
  </si>
  <si>
    <t>10.1016/j.palaeo.2004.02.003</t>
  </si>
  <si>
    <t>829IE</t>
  </si>
  <si>
    <t>WOS:000222040400001</t>
  </si>
  <si>
    <t>Roberts, D; McMinn, A; Cremer, H; Gore, DB; Melles, M</t>
  </si>
  <si>
    <t>The Holocene evolution and palaeosalinity history of Beall Lake, Windmill Islands (East Antarctica) using an expanded diatom-based weighted averaging model</t>
  </si>
  <si>
    <t>antarctica; Windmill Islands; hypsithermal interval; lakes and ponds; diatoms; palaeolimnology</t>
  </si>
  <si>
    <t>SEA-LEVEL CHANGE; VESTFOLD HILLS; SALINE LAKES; ENVIRONMENTAL-CHANGES; CLIMATE VARIABILITY; WATER CHEMISTRY; CASEY-STATION; BUDD COAST; ROSS SEA; ICE-CORE</t>
  </si>
  <si>
    <t>A mid-Holocene climate optimum is inferred from a palaeosalinity reconstruction of a closed saline lake (Beall Lake) from the Windmill Islands, East Antarctica using an expanded diatom salinity weighted averaging (WA) regression and calibration model. The addition of 14 lakes and ponds from the Windmill Islands, East Antarctica, to an existing weighted averaging regression and calibration palaeosalinity model of 33 lakes from the Vestfold Hills, East Antarctica expands the number of taxa and lakes and the range of salinity in the existing model and improves the model's predictive ability. This improved model was used to infer Holocene changes in lake water salinity in Beall Lake, Windmill Islands. Six changes in diatom-inferred salinity in Beall Lake are put into broad chronological context based on three radiocarbon dates: as the East Antarctic Ice Sheet (EAIS) retreated from the Windmill Islands during the early Holocene (similar to 9000-8130 corr. yr BP), Beall Lake formed as a melt water-fed freshwater lake, which gradually became more saline as marine influence increased from similar to 8000 coff. yr BP. Between similar to 8000 and 4800 corr. yr BP, the diatom assemblage included planktonic marine taxa such as Chaetoceros spp. and cryophilic taxa such as Fragilariopsis cylindrus, which indicate favourable summer growth conditions. A mid-Holocene warm period produced a climate that was warmer and more humid with increased precipitation and snow accumulation. This is reflected in the Beall Lake core as a reduction in the salinity of the lake diatom assemblage from similar to 4800-4600 corr. yr BP. Holocene isostatic uplift rates in the Windmill Islands vary from 5-6 m/1000 yr. By applying this uplift rate, it is calculated that the bedrock would have risen above sea level by similar to 4000 yr BP. The Beall Lake core diatom assemblage from similar to 4600-2900 corr. yr BP includes both marine cryophilic and planktonic taxa together with freshwater benthic and planktonic lacustrine taxa. This mix of species indicates the emergence of the lake from the sea around similar to 4600 corr. yr BP. From similar to 2800 corr. yr BP, retreat of the ice margin led to increasing melt water inputs and associated freshening of the lake basin until similar to 1900 corr. yr BP. The lake basin had no oceanic influence by this time, allowing a terrestrial freshwater flora to establish and thrive for the next similar to 1000 yr. At similar to 1850 corr. yr BP, a sudden and rapid salinity change is evident in Beall Lake. A late Holocene warm period between 2000 and 1000 yr BP has been observed in ice core records from Law Dome (an ice cap abutting the Windmill Islands to the east and north). It is therefore inferred that, at similar to 1850 corr. yr BP, summer temperatures within the Beall Lake catchment area were much higher than present summer temperatures. The climate optimum identified in the Beall Lake core similar to 4800 yr BP confirms mid-Holocene warming of the Windmill Islands and suggests a synchronous mid-Holocene climate optimum occurred across coastal East Antarctica. In addition, the abrupt climate change inferred at similar to 1850 yr BP suggests that higher resolution sampling of sediment cores from coastal East Antarctic limnological oases will provide more evidence of rapid climate change events over coastal East Antarctica in future. (C) 2004 Elsevier B.V. All rights reserved.</t>
  </si>
  <si>
    <t>Univ Tasmania, Inst Antarctic &amp; So Ocean Studies, Hobart, Tas 7001, Australia; Univ Utrecht, Dept Geobiol, Palaeobot &amp; Palynol Lab, NL-3584 CD Utrecht, Netherlands; Univ Leipzig, Fac Phys &amp; Geosci, Inst Geol &amp; Geophys, D-04103 Leipzig, Germany</t>
  </si>
  <si>
    <t>University of Tasmania; Utrecht University; Leipzig University</t>
  </si>
  <si>
    <t>D.Roberts@utas.edu.au; Andrew.McMinn@utas.edu.au; h.cremer@bio.uu.nl; damian.gore@mq.edu.au; melles@rz.uni-leipzig.de</t>
  </si>
  <si>
    <t>McMinn, Andrew/A-9910-2008; Melles, Martin/J-4070-2012</t>
  </si>
  <si>
    <t>Melles, Martin/0000-0003-0977-9463; Gore, Damian/0000-0002-0377-8518; Roberts, Donna/0000-0001-6701-6662</t>
  </si>
  <si>
    <t>10.1016/j.palaeo.2004.02.032</t>
  </si>
  <si>
    <t>WOS:000222040400007</t>
  </si>
  <si>
    <t>Waluda, CM; Yamashiro, C; Elvidge, CD; Hobson, VR; Rodhouse, PG</t>
  </si>
  <si>
    <t>Quantifying light-fishing for Dosidicus gigas in the Eastern Pacific using satellite remote sensing</t>
  </si>
  <si>
    <t>squid fishery; Dosidicus gigas; DMSP-OLS; ARGOS; remote sensing; GIS</t>
  </si>
  <si>
    <t>SQUID; OCEANOGRAPHY; VARIABILITY; FLEET</t>
  </si>
  <si>
    <t>The distribution and abundance of the fleet targeting Jumbo flying squid (Dosidicus gigas) in the Eastern Pacific is examined during the 1999 fishery season. The commercial fishery consists of a multinational jigging fleet, which fish at night using powerful lights to attract squid. The emission of light from these vessels can be observed using - satellite-derived imagery obtained by the United States Defence Meteorological Satellite Program-Operational Linescan System (DMSP-OLS). In order to quantify fishing effort using lights, data on the distribution and abundance of vessels were obtained via satellite tracking using the ARGOS system. The distribution of the fishery as derived from light signatures was found to closely resemble that derived from ship location data. By using ARGOS data to calibrate DMSP-OLS images, we are able to estimate fishing effort in terms of the 'area illuminated' by the fishing fleet. Light signatures derived from DMSP-OLS were successfully used to quantify fishing effort, estimating the number of vessels fishing to within 2 in 85 out of 103 satellite images (83%). High seas fishing was also quantified, with light signatures corresponding to a single fishing vessel observed in I I out of 103 satellite passes during the fishery season (July-December 1999). This study examines how much light (in terms of area) is emitted by a single squid fishing vessel, and may prove to be a valuable tool in assessing and policing fisheries using satellite remote sensing. (C) 2004 Elsevier Inc. All rights reserved.</t>
  </si>
  <si>
    <t>British Antarctic Survey, Natl Environm Res Council, Cambridge CB3 0ET, England; Inst Mar Peru, Esquina Gamarra &amp; Gen Valle Chucuito, Callao, Peru; NOAA, Natl Geophys Data Ctr, Off Director, Boulder, CO 80303 USA; Univ Colorado, Cooperat Inst Res Environm Sci, Boulder, CO 80303 USA</t>
  </si>
  <si>
    <t>UK Research &amp; Innovation (UKRI); Natural Environment Research Council (NERC); NERC British Antarctic Survey; Instituto del Mar del Peru; National Oceanic Atmospheric Admin (NOAA) - USA; University of Colorado System; University of Colorado Boulder</t>
  </si>
  <si>
    <t>British Antarctic Survey, Natl Environm Res Council, High Cross,Madingley Rd, Cambridge CB3 0ET, England.</t>
  </si>
  <si>
    <t>Elvidge, Christopher D./C-3012-2009</t>
  </si>
  <si>
    <t>Yamashiro-Guinoza, Carmen Rosario/0000-0003-4379-4392</t>
  </si>
  <si>
    <t>MAY 30</t>
  </si>
  <si>
    <t>10.1016/j.rse.2004.02.006</t>
  </si>
  <si>
    <t>828XC</t>
  </si>
  <si>
    <t>WOS:000222006000001</t>
  </si>
  <si>
    <t>Armadillo, E; Ferraccioli, F; Tabellario, G; Bozzo, E</t>
  </si>
  <si>
    <t>Electrical structure across a major ice-covered fault belt in Northern Victoria Land (East Antarctica)</t>
  </si>
  <si>
    <t>WEST ANTARCTICA; EVOLUTION; CRUSTAL; REGION</t>
  </si>
  <si>
    <t>A Geomagnetic Depth Sounding profile was performed across the glaciated Rennick Graben and the adjacent fault-bounded terranes of northern Victoria Land in East Antarctica. Induction arrows analysis and a 2D inversion model provide a unique deep electrical resistivity window beneath these fault zones. The electrical resistivity break across the Lanterman Fault is apparently restricted to the upper crust, suggesting that this strike-slip fault may not represent a deep lithospheric suture. Further east, a westward-dipping conductor is traced to a depth of 40 km beneath the Robertson Bay Terrane. It may image a remnant of the paleo-Pacific oceanic plate, which subducted beneath the Bowers Terrane. Within the Wilson Terrane, the Rennick Graben is an upper-crust resistive block. The Rennick Graben lacks a deep crustal or upper mantle conductor, in contrast to several continental rifts. However, similar resistive lower crust underlies some other major strike-slip fault belts.</t>
  </si>
  <si>
    <t>Univ Genoa, Dipartimento Studio Terr &amp; Risorse, Genoa, Italy; British Antarctic Survey, Cambridge CB3 0ET, England</t>
  </si>
  <si>
    <t>University of Genoa; UK Research &amp; Innovation (UKRI); Natural Environment Research Council (NERC); NERC British Antarctic Survey</t>
  </si>
  <si>
    <t>Univ Genoa, Dipartimento Studio Terr &amp; Risorse, Genoa, Italy.</t>
  </si>
  <si>
    <t>egidio@dipteris.unige.it</t>
  </si>
  <si>
    <t>Armadillo, Egidio/AAD-2877-2021</t>
  </si>
  <si>
    <t>Armadillo, Egidio/0000-0003-0982-6629; Ferraccioli, Fausto/0000-0002-9347-4736</t>
  </si>
  <si>
    <t>MAY 29</t>
  </si>
  <si>
    <t>L10615</t>
  </si>
  <si>
    <t>10.1029/2004GL019903</t>
  </si>
  <si>
    <t>827ON</t>
  </si>
  <si>
    <t>WOS:000221910200004</t>
  </si>
  <si>
    <t>Carril, AF; Navarra, A; Masina, S</t>
  </si>
  <si>
    <t>Ocean, sea-ice, atmosphere oscillations in the Southern Ocean as simulated by the SINTEX coupled model</t>
  </si>
  <si>
    <t>ANTARCTIC CIRCUMPOLAR WAVE; VARIABILITY; TEMPERATURE; PRESSURE</t>
  </si>
  <si>
    <t>This study evaluates the Antarctic Circumpolar Wave (ACW) as simulated by the SINTEX coupled model. We found evidence that sea-ice treatment plays a crucial role on simulating the ACW. In particular, SST anomalies at interannual time scales describe a propagating ACW-like pattern when a dynamic thermodynamic sea-ice model is coupled with the ocean, but when sea-ice is relaxed to climatology, anomalies occur as zonally symmetric patterns that do not propagate in longitude. Moreover, from the experiment with an active sea-ice component we saw that ACW-like oscillations are strongly modulated by low frequency variability. Our result adds some extra confidence to previous studies based on relatively short series of observed data.</t>
  </si>
  <si>
    <t>Natl Inst Geophys &amp; Volcanol, I-40128 Bologna, Italy</t>
  </si>
  <si>
    <t>Natl Inst Geophys &amp; Volcanol, Via Donato Creti 12, I-40128 Bologna, Italy.</t>
  </si>
  <si>
    <t>carril@bo.ingv.it</t>
  </si>
  <si>
    <t>Carril, Andrea F./GON-3361-2022; Masina, Simona/B-4974-2012</t>
  </si>
  <si>
    <t>Carril, Andrea F./0000-0003-3743-9685; MASINA, Simona/0000-0001-6273-7065</t>
  </si>
  <si>
    <t>L10309</t>
  </si>
  <si>
    <t>10.1029/2004GL019623</t>
  </si>
  <si>
    <t>WOS:000221910200002</t>
  </si>
  <si>
    <t>Hellmer, HH</t>
  </si>
  <si>
    <t>Impact of Antarctic ice shelf basal melting on sea ice and deep ocean properties</t>
  </si>
  <si>
    <t>WEDDELL SEA; CIRCULATION; VARIABILITY</t>
  </si>
  <si>
    <t>An approximation of Antarctica's rocky and icy coastline normally forms the southern boundary in global climate models. Such a configuration neglects extensive ice shelf areas where ocean-ice interaction initiates a net freshwater flux to the circumpolar continental shelf equal to similar to75% of the annual mean net precipitation in coastal seas. The results of a numerical model for the Southern Ocean using two contrasting configurations with and without caverns beneath major Antarctic ice shelves are compared. They show that the freshwater flux due to deep basal melting significantly stabilizes the shelf water column in front of an ice shelf as well as downstream due to advection by the coastal current. If the freshwater from the caverns is absent, sea ice is thinner, shelf waters are warmer and saltier, and the Southern Ocean deep basins are flushed by denser waters.</t>
  </si>
  <si>
    <t>Alfred Wegener Inst Polar &amp; Marine Res, Bussestr 24, D-27570 Bremerhaven, Germany.</t>
  </si>
  <si>
    <t>hhellmer@awi-bremerhaven.de</t>
  </si>
  <si>
    <t>Hellmer, Hartmut/0000-0002-9357-9853</t>
  </si>
  <si>
    <t>MAY 28</t>
  </si>
  <si>
    <t>L10307</t>
  </si>
  <si>
    <t>10.1029/2004GL019506</t>
  </si>
  <si>
    <t>827OM</t>
  </si>
  <si>
    <t>WOS:000221910100002</t>
  </si>
  <si>
    <t>Vivier, F; Maier-Reimer, E; Tyler, RH</t>
  </si>
  <si>
    <t>Simulations of magnetic fields generated by the Antarctic Circumpolar Current at satellite altitude: Can geomagnetic measurements be used to monitor the flow?</t>
  </si>
  <si>
    <t>DRAKE PASSAGE; ELECTROMAGNETIC-FIELDS; MODEL; CIRCULATION; TRANSPORT; VARIABILITY</t>
  </si>
  <si>
    <t>With a volume transport of similar to134 x 10(6) m(3)/s at the Drake Passage, the Antarctic Circumpolar Current (ACC) is the strongest ocean current. In the interest of estimating the secondary magnetic fields generated by the magnetohydrodynamic interaction of this flow with Earth's main field, we compare numerical results for the magnetic fields obtained using flow from three different ocean general circulation models. These simulations all expect detectable ocean signals in the magnetic records at ground and satellite altitude ( 400 km). The variability of this contribution is highly correlated with the ACC transport, a very important variable for climate studies. Observed magnetic fields could then be used, in principle, to derive an index of variability of the ACC. However given its small amplitude compared with other magnetic contributions, extracting the ocean's signal from observations remains a challenge at this time.</t>
  </si>
  <si>
    <t>Univ Paris 06, CNRS, UMR 7617, LODYC, F-75005 Paris, France; Max Planck Inst Meteorol, D-20146 Hamburg, Germany; Univ Washington, Appl Phys Lab, Seattle, WA 98105 USA</t>
  </si>
  <si>
    <t>Centre National de la Recherche Scientifique (CNRS); Sorbonne Universite; Max Planck Society; University of Washington; University of Washington Seattle</t>
  </si>
  <si>
    <t>Univ Paris 06, CNRS, UMR 7617, LODYC, Tour 45-55 4E,4 Pl Jussieu, F-75005 Paris, France.</t>
  </si>
  <si>
    <t>fvi@lodyc.jussieu.fr</t>
  </si>
  <si>
    <t>Vivier, Frederic/0000-0003-2539-4133</t>
  </si>
  <si>
    <t>MAY 27</t>
  </si>
  <si>
    <t>L10306</t>
  </si>
  <si>
    <t>10.1029/2004GL019804</t>
  </si>
  <si>
    <t>827OL</t>
  </si>
  <si>
    <t>WOS:000221910000002</t>
  </si>
  <si>
    <t>Walsh, JJ; Dieterle, DA; Maslowski, W; Whitledge, TE</t>
  </si>
  <si>
    <t>Decadal shifts in biophysical forcing of Arctic marine food webs: Numerical consequences</t>
  </si>
  <si>
    <t>food webs; models; arctic</t>
  </si>
  <si>
    <t>SOUTHEASTERN BERING-SEA; ORGANIC-CARBON; ANTARCTIC PHYTOPLANKTON; COASTAL OCEAN; CHUKCHI SEA; ICE; PHAEOCYSTIS; WATERS; SUMMER; SHELF</t>
  </si>
  <si>
    <t>Fall case studies of three-dimensional circulation, plankton, and benthos models explored the consequences of interannual changes in ice cover and water motion on carbon/nitrogen cycling by the end of September within the Chukchi/Beaufort Seas. The coupled model scenarios were those of reduced (greater) northward flow, colder (warmer) temperatures, and more (less) extensive ice cover over the preceding similar to60 days of August and September during the negative (positive), anticyclonic (cyclonic) phase of the Arctic Oscillation in 1980 (1989). On the inner Chukchi shelf, stronger flows in 1989 advected nitrate and silicate stocks of Pacific origin similar to130 km farther northwest toward Wrangel Island than in 1980. Yet an increase of the total net photosynthesis by the diatom-dominated phytoplankton community over both shelves in 1989 was mainly the result of less ice cover of the cyclonic period, with a concomittant increase of POC influxes of phytodetritus and fecal pellets to the sediments. In terms of present shelf export, the model's separate pools of similar to65 umol DOC kg(-1) and 1 ug chl 1(-1), or similar to4 umol POC kg(-1), at a depth of 60 m above the 2000-m isobath of the Beaufort Sea in September 1989, matched the sum of similar to70 umol TOC kg-(-1) sampled there by submarine in September 1997. Accordingly, most of the simulated Chukchi shelf was a weak sink of atmospheric CO2 in both September 1980 and 1989, reflecting a net fall export of particulate and dissolved debris. Within the cyclonic case of strong flows in 1989, a surface pCO(2) of 248 uatm was also simulated in September at 155degreesW on the Beaufort shelf, where similar to250 uatm was measured there in September 2000. Here, farther away from the Pacific source of nutrients for enhanced photosynthesis, the model's estimate of surface sea water fugacity in a weaker flow regime was only 375 uatm of pCO(2) at the same location in September 1980, when typically outgassing would have instead prevailed, despite increasing atmospheric pCO(2) values, i.e., 356 to 362 uatm of pCO(2) were found in Arctic air during 1998 to 2000. Although the northward model transports of water, gases, nutrients, and particulate matter were less during 1980 than in 1989, the simulated relict nutrient fields, left behind by the model's phytoplankton on the outer shelf of the Chukchi Sea, were greater then, as a consequence of their smaller rates of light-imited utilization during less photosynthesis and draw down of CO2. The more important factors, effecting fluxes of CO2 here, may thus be the biological ones of photosynthesis and respiration, rather than the physical ones of temperature and advection. Since the colonial prymnesiophytes of the model also grew better at low light intensities than the diatoms or microflagellates, Phaeocystis won, when all other constraints were similar, in regions of the ice-covered upper euphotic zone, where total stocks were less than 0.5 ug chl 1(-1)as observed in August 2000. However, increased model fidelity, compared with submarine observations of nutrients along the shelf break of the western Canadian Basin, will require appropriate specification of the persistence of winter initial conditions in Bering Strait. Future reductions of ice cover over deeper regions of these Arctic shelves may result in greater utilization of the untapped winter nutrients by these shade-adapted prymnesiophytes, with less energy transfer to higher trophic levels of their food webs. Altered bases of shelf food webs, rather than increased northward transport of Pacific waters and their constituents, may then have greater consequences for both future element cycling and protein yield of these western Arctic ecosystems.</t>
  </si>
  <si>
    <t>Univ S Florida, Coll Marine Sci, St Petersburg, FL 33701 USA; USN, Postgrad Sch, Dept Oceanog, Monterey, CA 93943 USA; Univ Alaska, Sch Fisheries &amp; Ocean Sci, Fairbanks, AK 99775 USA</t>
  </si>
  <si>
    <t>State University System of Florida; University of South Florida; United States Department of Defense; United States Navy; Naval Postgraduate School; University of Alaska System; University of Alaska Fairbanks</t>
  </si>
  <si>
    <t>Univ S Florida, Coll Marine Sci, St Petersburg, FL 33701 USA.</t>
  </si>
  <si>
    <t>jwalsh@seas.marine.usf.edu; dwid@seas.marine.usf.edu; maslowsk@ucar.edu; terry@ims.uaf.edu</t>
  </si>
  <si>
    <t>Walsh, John/GQI-2785-2022</t>
  </si>
  <si>
    <t>Walsh, John/0000-0002-2510-8734</t>
  </si>
  <si>
    <t>C5</t>
  </si>
  <si>
    <t>C05031</t>
  </si>
  <si>
    <t>10.1029/2003JC001945</t>
  </si>
  <si>
    <t>827OY</t>
  </si>
  <si>
    <t>WOS:000221911400001</t>
  </si>
  <si>
    <t>Rodger, CJ; McCormick, RJ; Clilverd, MA</t>
  </si>
  <si>
    <t>Testing the importance of precipitation loss mechanisms in the inner radiation belt</t>
  </si>
  <si>
    <t>ELECTRONS</t>
  </si>
  <si>
    <t>Manmade control of the radiation belts for the protection of space-based infrastructure has been suggested on the basis of theoretical calculations. In this paper we put forward an experimental test of the relative importance of either whistler-induced electron precipitation (WEP) or manmade VLF transmitters as the most significant inner radiation belt loss mechanisms for 2 &lt; L &lt; 2.4. The experimental identification of seasonality in inner radiation belt electrons lifetimes would provide strong evidence for the relative significance of WEP- or manmade transmitter-driven losses depending on the relative phasing found.</t>
  </si>
  <si>
    <t>Univ Otago, Dept Phys, Dunedin, New Zealand; British Antarctic Survey, Div Phys Sci, Cambridge CB3 0ET, England</t>
  </si>
  <si>
    <t>University of Otago; UK Research &amp; Innovation (UKRI); Natural Environment Research Council (NERC); NERC British Antarctic Survey</t>
  </si>
  <si>
    <t>Rodger, CJ (corresponding author), Univ Otago, Dept Phys, POB 56, Dunedin, New Zealand.</t>
  </si>
  <si>
    <t>crodger@physics.otago.ac.nz; rmccormick@physics.otago.ac.nz; m.clilverd@bas.ac.uk</t>
  </si>
  <si>
    <t>MAY 26</t>
  </si>
  <si>
    <t>L10803</t>
  </si>
  <si>
    <t>10.1029/2004GL019501</t>
  </si>
  <si>
    <t>827OK</t>
  </si>
  <si>
    <t>WOS:000221909900002</t>
  </si>
  <si>
    <t>Brea, S; Alvarez-Salgado, XA; Alvarez, M; Pérez, FF; Mémery, L; Mercier, H; Messias, MJ</t>
  </si>
  <si>
    <t>Nutrient mineralization rates and ratios in the eastern South Atlantic -: art. no. C05030</t>
  </si>
  <si>
    <t>water masses; biogeochemical cycles; South Atlantic</t>
  </si>
  <si>
    <t>ANTARCTIC INTERMEDIATE WATER; DEEP-WATER; ORGANIC-MATTER; REMINERALIZATION RATIOS; ANTHROPOGENIC CO2; WESTERN BOUNDARY; REDFIELD RATIOS; FLOW PATTERNS; OCEAN; CIRCULATION</t>
  </si>
  <si>
    <t>The physical and biogeochemical components of nutrients and inorganic carbon distributions along WOCE line A14 are objectively separated by means of a constrained least-squares regression analysis of the mixing of eastern South Atlantic water masses. Contrary to previous approaches, essentially devoted to the intricate South Atlantic circulation, this work is focused on the effects of circulation on nutrients and carbon biogeochemistry, with special emphasis on the stoichiometry and the rate of mineralization processes. Combination of nutrient and apparent CFC-age anomalies, derived from the mixing analysis, indicate faster mineralization rates in the equatorial (12 x 10(-2) mumol P kg(-1) yr(-1)) and subequatorial (5.3 x 10(-2) mumol P kg(-1) yr(-1)) than in the subtropical (4.3 x 10(-2) mumol P kg(-1) yr(-1)) regime at the South Atlantic Central Water (SACW) depth range. Lower rates are obtained in the Antarctic Intermediate Water (AAIW) domain (3.0 x 10(-2) mumol P kg(-1) yr(-1)). Significant variation with depth of O-2/C/N/P anomalies indicates preferential mineralization of proteins in thermocline waters, as compared with the reference Redfield composition.</t>
  </si>
  <si>
    <t>Inst Invest Marinas Punta Betin, Consejo Super Invest Cient, E-36208 Vigo, Almeria, Spain; UPMC, IRD, CNRS,Lab Oceanog Dynam &amp; Climatol, Inst Pierre Simon Laplace, F-75252 Paris 05, France; IFREMER, Ctr Brest, UBO, CNRS,Lab Phys Oceans, F-29280 Plouzane, France; Univ E Anglia, Sch Environm Sci, Norwich NR4 7TJ, Norfolk, England</t>
  </si>
  <si>
    <t>Consejo Superior de Investigaciones Cientificas (CSIC); CSIC - Instituto de Investigaciones Marinas (IIM); Institut de Recherche pour le Developpement (IRD); Universite Paris Cite; Centre National de la Recherche Scientifique (CNRS); CNRS - National Institute for Earth Sciences &amp; Astronomy (INSU); Sorbonne Universite; Universite Paris Saclay; Universite de Bretagne Occidentale; Institut Universitaire Europeen de la Mer (IUEM); Centre National de la Recherche Scientifique (CNRS); Ifremer; Institut de Recherche pour le Developpement (IRD); University of East Anglia</t>
  </si>
  <si>
    <t>Inst Invest Marinas Punta Betin, Consejo Super Invest Cient, Eduardo Cabello 6, E-36208 Vigo, Almeria, Spain.</t>
  </si>
  <si>
    <t>sbrea@iim.csic.es</t>
  </si>
  <si>
    <t>Fernandez Perez, Fiz/B-9001-2011; Álvarez, Marta/D-4367-2009; Alvarez-Salgado, Xose Anton/A-8365-2012; MERCIER, Herle/L-4161-2015</t>
  </si>
  <si>
    <t>Fernandez Perez, Fiz/0000-0003-4836-8974; Álvarez, Marta/0000-0002-5075-9344; Messias, Marie-Jose/0000-0002-3852-2854; MERCIER, Herle/0000-0002-1940-617X; Alvarez-Salgado, X. Anton/0000-0002-2387-9201</t>
  </si>
  <si>
    <t>C05030</t>
  </si>
  <si>
    <t>10.1029/2003JC002051</t>
  </si>
  <si>
    <t>827OX</t>
  </si>
  <si>
    <t>WOS:000221911300002</t>
  </si>
  <si>
    <t>Ahrens, J; Bai, X; Bay, R; Barwick, SW; Becka, T; Becker, JK; Becker, KH; Bernardini, E; Bertrand, D; Biron, A; Boersma, DJ; Böser, S; Botner, O; Bouchta, A; Bouhali, O; Burgess, T; Carius, S; Castermans, T; Chirkin, D; Collin, B; Conrad, J; Cooley, J; Cowen, DF; Davour, A; De Clercq, C; DeYoung, T; Desitati, P; Dewulf, JP; Ekström, P; Feser, T; Gaug, M; Gaisser, TK; Ganugapati, R; Geenen, H; Gerhardt, L; Gross, A; Goldschmidt, A; Hallgren, A; Halzen, F; Hanson, K; Hardtke, R; Harenberg, T; Hauschildt, T; Helbing, K; Hellwig, M; Herquet, P; Hill, GC; Hubert, D; Hughey, B; Hulth, PO; Hultqvist, K; Hundertmark, S; Jacobsen, J; Karle, A; Kestel, M; Köpke, L; Kowalski, M; Kuehn, K; Lamoureux, JI; Leich, H; Leuthold, M; Lindahl, P; Liubarsky, I; Madsen, J; Marciniewski, P; Matis, HS; McParland, CP; Messarius, T; Minaeva, Y; Miocinovic, P; Mock, PC; Morse, R; Münich, KS; Nam, J; Nahnhauer, R; Neunhöffer, T; Niessen, P; Nygren, DR; Ögelman, H; Olbrechts, P; de los Heros, CP; Pohl, AC; Porrata, R; Price, PB; Przybylski, GT; Rawlins, K; Resconi, E; Rhode, W; Ribordy, M; Richter, S; Martino, JR; Ross, D; Sander, HG; Schinarakis, K; Schlenstedt, S; Schmidt, T; Schneider, D; Schwarz, R; Silvestri, A; Solarz, M; Spiczak, GM; Spiering, C; Stamatikos, M; Steele, D; Steffen, P; Stokstad, RG; Sulanke, KH; Streicher, O; Taboada, I; Thollander, L; Tilav, S; Wagner, W; Walck, C; Wang, YR; Wiebusch, CH; Wiedemann, C; Wischnewski, R; Wissing, H; Woschnagg, K; Yodh, G</t>
  </si>
  <si>
    <t>Muon track reconstruction and data selection techniques in AMANDA</t>
  </si>
  <si>
    <t>NUCLEAR INSTRUMENTS &amp; METHODS IN PHYSICS RESEARCH SECTION A-ACCELERATORS SPECTROMETERS DETECTORS AND ASSOCIATED EQUIPMENT</t>
  </si>
  <si>
    <t>AMANDA; track reconstruction; neutrino telescope; neutrino astrophysics</t>
  </si>
  <si>
    <t>HIGH-ENERGY NEUTRINOS; SOUTH-POLE; DEEP ICE; OPTICAL-PROPERTIES; ABSORPTION</t>
  </si>
  <si>
    <t>The Antarctic Muon And Neutrino Detector Array (AMANDA) is a high-energy neutrino telescope operating at the geographic South Pole. It is a lattice of photo-multiplier tubes buried deep in the polar ice between 1500 and 2000 m. The primary goal of this detector is to discover astrophysical sources of high-energy neutrinos. A high-energy muon neutrino coming through the earth from the Northern Hemisphere can be identified by the secondary muon moving upward through the detector. The muon tracks are reconstructed with a maximum likelihood method. It models the arrival times and amplitudes of Cherenkov photons registered by the photo-multipliers. This paper describes the different methods of reconstruction, which have been successfully implemented within AMANDA. Strategies for optimizing the reconstruction performance and rejecting background are presented. For a typical analysis procedure the direction of tracks are reconstructed with about 2degrees accuracy. (C) 2004 Elsevier B.V. All rights reserved.</t>
  </si>
  <si>
    <t>BU Wuppertal, Fachbereich Phys 8, D-42119 Wuppertal, Germany; Univ Uppsala, Div High Energy Phys, S-75121 Uppsala, Sweden; Free Univ Brussels, Fac Sci, Brussels, Belgium; DESY, D-15738 Zeuthen, Germany; Univ Calif Irvine, Dept Phys &amp; Astron, Irvine, CA 92697 USA; Univ Calif Berkeley, Bartol Res Inst, Berkeley, CA 94720 USA; Univ Mainz, Inst Phys, D-55099 Mainz, Germany; Univ Simon Bolivar, Dept Fis, Caracas 1080, Venezuela; Univ Wisconsin, Dept Phys, River Falls, WI 54022 USA; Univ London Imperial Coll Sci Technol &amp; Med, Blackett Lab, London SW7 2BW, England; Lawrence Berkeley Lab, Berkeley, CA 94720 USA; Univ Maryland, Dept Phys, College Pk, MD 20742 USA; Free Univ Brussels, Dienst ELEM, B-1050 Brussels, Belgium; Univ Wisconsin, Dept Phys, Madison, WI 53706 USA; Penn State Univ, Dept Phys, University Pk, PA 16802 USA; Univ Mons, B-7000 Mons, Belgium; Kalmar Univ, Dept Technol, S-39182 Kalmar, Sweden; Stockholm Univ, Dept Phys, SE-10691 Stockholm, Sweden</t>
  </si>
  <si>
    <t>Uppsala University; Universite Libre de Bruxelles; Helmholtz Association; Deutsches Elektronen-Synchrotron (DESY); University of California System; University of California Irvine; University of California System; University of California Berkeley; Johannes Gutenberg University of Mainz; Simon Bolivar University; University of Wisconsin System; Imperial College London; United States Department of Energy (DOE); Lawrence Berkeley National Laboratory; University System of Maryland; University of Maryland College Park; Universite Libre de Bruxelles; University of Wisconsin System; University of Wisconsin Madison; Pennsylvania Commonwealth System of Higher Education (PCSHE); Pennsylvania State University; Pennsylvania State University - University Park; University of Mons; University of Kalmar; Linnaeus University; Stockholm University</t>
  </si>
  <si>
    <t>BU Wuppertal, Fachbereich Phys 8, Gaussstr 20, D-42119 Wuppertal, Germany.</t>
  </si>
  <si>
    <t>wiebusch@physik.uni-wuppertal.de</t>
  </si>
  <si>
    <t>DeYoung, Tyce/O-6895-2019; Botner, Olga/A-9110-2013; Tjus, Julia/G-8145-2012; Resconi, Elisa/I-3874-2016; Bouhali, Othmane/JXM-3572-2024; Gaug, Markus/L-2340-2014; Hallgren, Allan/A-8963-2013; Matis, Howard S/HMV-9747-2023; Hubert, Daan/I-1096-2019; Matis, Howard/AAO-2082-2021; Wiebusch, Christopher H.V./G-6490-2012; Schinarakis, Konstantinos/GPK-5766-2022; Przybylski, Grzegorz/F-7474-2015; Bernardini, Elisa/AAA-4810-2020; Hundertmark, Stephan/A-6592-2010; Kowalski, Marek/G-5546-2012; Diaz Velez, Juan Carlos/T-2788-2018</t>
  </si>
  <si>
    <t>DeYoung, Tyce/0000-0003-4873-3783; Tjus, Julia/0000-0002-1748-7367; Resconi, Elisa/0000-0003-0705-2770; Bouhali, Othmane/0000-0001-7139-7322; Gaug, Markus/0000-0001-8442-7877; Matis, Howard S/0000-0003-0764-4389; Hubert, Daan/0000-0002-4365-865X; Wiebusch, Christopher H.V./0000-0002-6418-3008; Schinarakis, Konstantinos/0000-0003-4248-2290; Bernardini, Elisa/0000-0003-3108-1141; Cooley, Jodi/0000-0001-6761-2042; Burgess, Thomas/0000-0002-6993-5918; Perez de los Heros, Carlos/0000-0002-2084-5866; Kowalski, Marek/0000-0001-8594-8666; Hill, Gary/0000-0001-8881-6802; Streicher, Ole/0000-0001-7751-1843; Desiati, Paolo/0000-0001-9768-1858; Rhode, Wolfgang/0000-0003-2636-5000; Diaz Velez, Juan Carlos/0000-0002-0087-0693; Helbing, Klaus/0000-0003-2072-4172; De Clercq, Catherine/0000-0001-5266-7059</t>
  </si>
  <si>
    <t>0168-9002</t>
  </si>
  <si>
    <t>1872-9576</t>
  </si>
  <si>
    <t>NUCL INSTRUM METH A</t>
  </si>
  <si>
    <t>Nucl. Instrum. Methods Phys. Res. Sect. A-Accel. Spectrom. Dect. Assoc. Equip.</t>
  </si>
  <si>
    <t>MAY 21</t>
  </si>
  <si>
    <t>1-3</t>
  </si>
  <si>
    <t>10.1016/j.nima.2004.01.065</t>
  </si>
  <si>
    <t>Instruments &amp; Instrumentation; Nuclear Science &amp; Technology; Physics, Nuclear; Physics, Particles &amp; Fields</t>
  </si>
  <si>
    <t>824IG</t>
  </si>
  <si>
    <t>WOS:000221679400018</t>
  </si>
  <si>
    <t>Carver, R</t>
  </si>
  <si>
    <t>The last great quest: Captain Scott's Antarctic sacrifice</t>
  </si>
  <si>
    <t>825LF</t>
  </si>
  <si>
    <t>WOS:000221759100052</t>
  </si>
  <si>
    <t>King, AL; Howard, WR</t>
  </si>
  <si>
    <t>Planktonic foraminiferal δ13C records from Southern Ocean sediment traps:: New estimates of the oceanic Suess effect -: art. no. GB2007</t>
  </si>
  <si>
    <t>carbon isotopes; Southern Ocean; sediment traps; planktonic foraminifera disequilibrium; seasonal variability</t>
  </si>
  <si>
    <t>CARBON ISOTOPIC COMPOSITION; DISSOLVED INORGANIC CARBON; POLAR FRONTAL ZONES; ANTHROPOGENIC CO2; GLOBIGERINA-BULLOIDES; SURFACE OCEANS; SEA; FLUX; FRACTIONATION; TEMPERATURE</t>
  </si>
  <si>
    <t>[1] The carbon isotopic composition is measured for three species of planktonic foraminifera (Globigerina bulloides, Globorotalia inflata and Neogloboquadrina pachyderma (s.)) from Southern Ocean sediment traps. The sediment traps represent the annual flux of foraminifera in Subtropical to Polar Frontal environments from the western Pacific/Southern Australia sector. Comparison between the seasonal delta(13)C composition of the foraminifera and estimated delta(13)C of dissolved inorganic carbon (DIC) allows disequilibrium effects to be determined. Disequilibrium exhibits a latitudinal trend, with greatest offsets from equilibrium at lower latitudes. This effect causes a north to south increase in foraminiferal delta(13)C, while the delta(13)C(DIC) displays a decrease across these latitudes. Disequilibrium in G. bulloides can be accounted for by changes in temperature. The relationship between disequilibrium and temperature which we derive in this field study is consistent with the laboratory relationship of Bemis et al. [ 2000]. Corrected delta(13)C for G. bulloides is closely correlated to seasonal changes in nutrients at each site, indicating the utility of G. bulloides delta(13)C as a nutrient tracer in Southern Ocean environments. Comparison between flux-weighted sediment trap values and nearby core tops indicates a modern depletion in delta(13)C, which we attribute to the oceanic Suess effect. The imprint of this effect on the foraminiferal isotopes provides further evidence for the equilibration between surface waters and the atmosphere in the Subantarctic Zone.</t>
  </si>
  <si>
    <t>Univ Tasmania, Inst Antarctic &amp; So Ocean Studies, Hobart, Tas 7001, Australia; Univ Tasmania, Antarctic Cooperat Res Ctr, Hobart, Tas 7001, Australia</t>
  </si>
  <si>
    <t>Geosci Australia, GPO Box 378, Canberra, ACT 2601, Australia.</t>
  </si>
  <si>
    <t>will.howard@utas.edu.au</t>
  </si>
  <si>
    <t>Post, Alexandra/0000-0002-6287-3283</t>
  </si>
  <si>
    <t>MAY 20</t>
  </si>
  <si>
    <t>GB2007</t>
  </si>
  <si>
    <t>10.1029/2003GB002162</t>
  </si>
  <si>
    <t>823KM</t>
  </si>
  <si>
    <t>WOS:000221610700001</t>
  </si>
  <si>
    <t>Engebretson, MJ; Posch, JL; Halford, AJ; Shelburne, GA; Smith, AJ; Spasojevic, M; Inan, US; Arnoldy, RL</t>
  </si>
  <si>
    <t>Latitudinal and seasonal variations of quasiperiodic and periodic VLF emissions in the outer magnetosphere</t>
  </si>
  <si>
    <t>ULF pulsations; Pc3-4 pulsations; Pc3 pulsations; quasiperiodic emissions; periodic emissions; VLF waves</t>
  </si>
  <si>
    <t>RADIO PLASMA IMAGER; MAGNETIC PULSATIONS; GEOMAGNETIC CONJUGACY; ANTARCTIC STATIONS; WAVE ACTIVITY; GENERATION; SIPLE; POWER</t>
  </si>
  <si>
    <t>We have analyzed ELF-VLF receiver and search coil magnetometer data from five Antarctic stations from 1998 and 1999 to study quasiperiodic emissions (QPs) and periodic emissions (PEs), which occur as ULF-range modulations of ELF-VLF signals between 0.5 kHz and similar to4 kHz. QPs are modulated at frequencies of similar to20-50 mHz, and PEs are modulated at frequencies of similar to200-500 mHz. The stations used covered a range of magnetic latitudes from -62degrees (Halley) to -74degrees (South Pole Station); three automated geophysical observatories (AGOs) were located at intermediate latitudes. Consistent with earlier studies, most QPs were observed with magnetic pulsations of identical period in the Pc3 range ( type I QPs). Of those QPs not observed with simultaneous magnetic pulsations ( type II QPs), nearly all were accompanied by PEs. Type I QPs, PEs, and events during which both appeared together (QPPEs) were found to have different latitudinal, seasonal, and diurnal occurrence patterns: QPs of both types were more likely to occur between -65degrees and -70degrees magnetic latitude, while PEs occurred more often around -60degrees magnetic latitude. QPs were more common during the months of October though March, while PEs were more common during the months of May through September. QPs, whether with or without simultaneous PEs or magnetic pulsations, were predominantly a dayside phenomenon, with a broad maximum near local noon. The occurrence of QPs unaccompanied by PEs was restricted to the dayside, however, while a small number of QPPEs appeared even during nighttime hours. PEs, on the other hand, could be seen at all local times, but with latitudinally dependent diurnal patterns. Most higher-latitude QPs were type I events (observed with magnetic pulsations), while type II QP events (without simultaneous magnetic pulsations) occurred relatively more often at lower latitudes. A case study from 1 August 1999 using wideband data from South Pole and Halley provides evidence of a transition from echoing whistler activity to PE activity and then to QP activity and suggests a causal relationship.</t>
  </si>
  <si>
    <t>Augsburg Coll, Minneapolis, MN 55454 USA; British Antarctic Survey, Cambridge CB3 0ET, England; Stanford Univ, Dept Elect Engn, STAR Lab, Stanford, CA 94305 USA; Univ New Hampshire, Ctr Space Sci, Durham, NH 03824 USA</t>
  </si>
  <si>
    <t>Augsburg University; UK Research &amp; Innovation (UKRI); Natural Environment Research Council (NERC); NERC British Antarctic Survey; Stanford University; University System Of New Hampshire; University of New Hampshire</t>
  </si>
  <si>
    <t>Augsburg Coll, 2211 Riverside Ave, Minneapolis, MN 55454 USA.</t>
  </si>
  <si>
    <t>engebret@augsburg.edu; posch@augsburg.edu; alexa.halford@lasp.colorado.edu; a.j.smith@bas.ac.uk; mssm@nova.stanford.edu; inan@nova.stanford.edu; roger.arnoldy@unh.edu</t>
  </si>
  <si>
    <t>Inan, Umran/V-3634-2019; Halford, Alexa/AAH-2098-2019</t>
  </si>
  <si>
    <t>Inan, Umran/0000-0001-5837-5807; Halford, Alexa/0000-0002-5383-4602; Spasojevic, Maria/0000-0001-8869-5086</t>
  </si>
  <si>
    <t>A5</t>
  </si>
  <si>
    <t>A05216</t>
  </si>
  <si>
    <t>10.1029/2003JA010335</t>
  </si>
  <si>
    <t>823LL</t>
  </si>
  <si>
    <t>WOS:000221613600001</t>
  </si>
  <si>
    <t>Meiners, K; Brinkmeyer, R; Granskog, MA; Lindfors, A</t>
  </si>
  <si>
    <t>Abundance, size distribution and bacterial colonization of exopolymer particles in Antarctic sea ice (Bellingshausen Sea)</t>
  </si>
  <si>
    <t>sea ice; Antarctica; exopolymer particles; extracellular polymeric substances; particle colonization; bacteria; diatoms</t>
  </si>
  <si>
    <t>DISSOLVED ORGANIC-MATTER; WEDDELL SEA; DIATOM BLOOM; MICROBIAL ECOLOGY; CARBON PRODUCTION; STANDING STOCK; MARINE SNOW; TEP; PHYTOPLANKTON; AGGREGATION</t>
  </si>
  <si>
    <t>The abundance, size spectra and bacterial colonization of exopolymer particles were investigated in Antarctic sea ice and underlying water in the Bellingshausen Sea during April 2001. In addition to exopolymer particles (EP), different abiotic (temperature, salinity, ice texture, oxygen isotopic composition, inorganic nutrient concentrations) and biotic (particulate organic carbon/nitrogen, algal pigments, abundance and biomass of bacteria and diatoms) parameters were measured from the samples. The sea ice showed different communities occurring in physically distinct layers of the ice. Algal and bacterial biomass in the ice showed strong vertical gradients and ranged between 59.4 and 5140.4 mug C l(-1) and 8.8 and 119.4 mug C l(-1), respectively. EP concentrations in the sea ice were high, with EP abundance ranging between 10.2 and 260.1 x 10(6) particles l(-1) and EP area between 3.4 and 92.1 cm(2) l(-1). Median EP concentrations in the ice exceeded under-ice values by 1 order of magnitude. Crude estimates of integrated sea ice EP carbon were equivalent to 14-32% of the integrated POC, and to 34-78% of the integrated diatom biomass. The estimated integrated EP carbon in sea ice exceeded the bacterial biomass by a factor of 10 to 20. The abundance of EP was inversely correlated with size of the particles. EP size spectra showed relatively flat slopes, indicating a relatively large contribution of larger particles, The bacterial colonization of individual EP in the ice and in the under-ice water was not significantly different. In contrast, due to the large difference of EP concentrations in the 2 habitats, the median proportion of attached bacteria was much higher in the ice (14.8% of the total bacterial number) than in the under-ice water (1.9% of the total bacterial number). The data suggest that EP are an integral component of Antarctic sea ice communities and that EP serve as important substrates for ice-associated bacteria. After the ice melts in spring, large amounts of EP are available to be released to the water, where they may significantly contribute to and alter the particle flux of the ice-covered Southern Ocean.</t>
  </si>
  <si>
    <t>Univ Kiel, Inst Polar Ecol, D-24148 Kiel, Germany; Yale Univ, Dept Geol &amp; Geophys, New Haven, CT 06520 USA; Alfred Wegener Inst Polar &amp; Marine Res, D-27515 Bremerhaven, Germany; Univ Helsinki, Dept Phys Sci, Div Geophys, FIN-00014 Helsinki, Finland; Univ Lapland, Arctic Ctr, Rovaniemi 96101, Finland</t>
  </si>
  <si>
    <t>University of Kiel; Yale University; Helmholtz Association; Alfred Wegener Institute, Helmholtz Centre for Polar &amp; Marine Research; University of Helsinki; University of Lapland</t>
  </si>
  <si>
    <t>Univ Kiel, Inst Polar Ecol, Wischhoistr 1-3,Bld 12, D-24148 Kiel, Germany.</t>
  </si>
  <si>
    <t>klaus.meiners@yale.edu</t>
  </si>
  <si>
    <t>Granskog, Mats/0000-0002-5035-4347</t>
  </si>
  <si>
    <t>MAY 19</t>
  </si>
  <si>
    <t>10.3354/ame035283</t>
  </si>
  <si>
    <t>828JQ</t>
  </si>
  <si>
    <t>WOS:000221970000007</t>
  </si>
  <si>
    <t>Khosrawi, F; Müller, R; Proffitt, MH; Nakajima, H</t>
  </si>
  <si>
    <t>Monthly averaged ozone and nitrous oxide from the Improved Limb Atmospheric Spectrometer (ILAS) in the Northern and Southern Hemisphere polar regions -: art. no. D10301</t>
  </si>
  <si>
    <t>stratospheric ozone; ozone-tracer correlations; ILAS</t>
  </si>
  <si>
    <t>HALOGEN OCCULTATION EXPERIMENT; ARCTIC VORTEX; POTENTIAL VORTICITY; ANTARCTIC STRATOSPHERE; SPRING 1997; MAIN CAUSE; WINTER; TRANSPORT; INITIALIZATION; PHOTOCHEMISTRY</t>
  </si>
  <si>
    <t>Northern and southern hemispheric averaged ozone (O-3) and nitrous oxide (N2O) measured by the Improved Limb Atmospheric Spectrometer (ILAS) were used to examine photochemical and dynamical changes in high-latitude O-3 distributions. Using correlations of O-3 versus N2O, the ILAS data are organized monthly in both hemispheres by partitioning these data into equal bins of altitude or potential temperature. The resulting families of curves help to differentiate O-3 changes due to photochemistry from those due to transport. Our study extends the work of Proffitt et al. [2003] for the Northern Hemisphere to the Southern Hemisphere. Further, our study confirms and extends their results for the Northern Hemisphere by applying their analysis to a significantly greater altitude range. As in the Northern Hemisphere, the families of curves for the altitude, and potential temperature bins in the Southern Hemisphere are separated and generally do not cross. In both hemispheres a better separation is found for the potential temperature binning. In the Southern Hemisphere November and December data, preserved photochemical O-3 loss is evident in the lower stratosphere. Further, summer ozone loss is evident in the Southern Hemisphere from January to March. In the Arctic, ongoing photochemical O-3 loss is evident in the Northern Hemisphere spring data. While at higher altitudes the correlation between N2O and O-3 is generally positive ( increasing N2O with increasing O-3), at lower levels the correlation is negative. This change of correlation from positive to negative can be interpreted in terms of photochemical and dynamical processes. Strong descent causes a steepening of the positively correlated curves, while the curves change their slope from positive to negative if photochemical destruction of O-3 is present and descent is weak. The level of slope change is also photochemically influenced and therefore changes with season. Data sets such as the one derived here may be useful for testing atmospheric models and for identifying future changes in stratospheric ozone.</t>
  </si>
  <si>
    <t>Natl Inst Environm Studies, Ozone Layer Res Project, Tsukuba, Ibaraki 3058506, Japan; Forschungszentrum Julich, ICG I, D-52425 Julich, Germany; World Meteorol Org, Atmospher Res &amp; Environm Programme, Environm Div, CH-1211 Geneva, Switzerland</t>
  </si>
  <si>
    <t>National Institute for Environmental Studies - Japan; Helmholtz Association; Research Center Julich</t>
  </si>
  <si>
    <t>Natl Inst Environm Studies, Ozone Layer Res Project, 16-2 Onogawa, Tsukuba, Ibaraki 3058506, Japan.</t>
  </si>
  <si>
    <t>f.khosrawi@fz-juelich.de; ro.mueller@fz-juelich.de; mproffitt@wmo.int; hide@nies.go.jp</t>
  </si>
  <si>
    <t>Nakajima, Hideaki/M-8845-2019; Müller, Rolf/ABA-8213-2021</t>
  </si>
  <si>
    <t>Nakajima, Hideaki/0000-0002-2742-1230; Müller, Rolf/0000-0002-5024-9977; Khosrawi, Farahnaz/0000-0002-0261-7253</t>
  </si>
  <si>
    <t>D10</t>
  </si>
  <si>
    <t>D10301</t>
  </si>
  <si>
    <t>10.1029/2003JD004365</t>
  </si>
  <si>
    <t>823KQ</t>
  </si>
  <si>
    <t>WOS:000221611200002</t>
  </si>
  <si>
    <t>Fan, K; Wang, HJ</t>
  </si>
  <si>
    <t>Antarctic oscillation and the dust weather frequency in North China</t>
  </si>
  <si>
    <t>TEMPORAL VARIABILITY; APRIL 1998; TRANSPORT; STORM; PACIFIC; EVENT; ASIA</t>
  </si>
  <si>
    <t>The linkage between the Antarctic Oscillation (AAO) to the dust weather frequency (DWF) in North China is addressed. Here DWF denotes the number of days of dust weather events including dust haze, blowing dust and dust storm in one year. It is found that the interannual variation of AAO plays a significant role in the dust-related atmospheric circulation during boreal spring. AAO and DWF correlate well, with positive AAO tending to decrease DWF in North China. Two possible mechanisms for the AAO-DWF coupling are identified, one is related to a meridional teleconnection pattern; the other is related to a regional circulation pattern over the Pacific Ocean.</t>
  </si>
  <si>
    <t>Chinese Acad Sci, Nansen Zhu Int Res Ctr, Inst Atmospher Phys, Beijing 100029, Peoples R China; Yunnan Univ, Dept Atmospher Sci, Kunming 650091, Peoples R China</t>
  </si>
  <si>
    <t>Chinese Academy of Sciences; Institute of Atmospheric Physics, CAS; Yunnan University</t>
  </si>
  <si>
    <t>Chinese Acad Sci, Nansen Zhu Int Res Ctr, Inst Atmospher Phys, 40 Huayanli, Beijing 100029, Peoples R China.</t>
  </si>
  <si>
    <t>fanke@mali.iap.ac.cn; wanghj@mail.iap.ac.cn</t>
  </si>
  <si>
    <t>Fan, Ke/AAJ-2315-2020; Fan, K/GXH-3734-2022</t>
  </si>
  <si>
    <t>MAY 18</t>
  </si>
  <si>
    <t>L10201</t>
  </si>
  <si>
    <t>10.1029/2004GL019465</t>
  </si>
  <si>
    <t>823KH</t>
  </si>
  <si>
    <t>WOS:000221610100001</t>
  </si>
  <si>
    <t>Gondwe, M; Krol, M; Klaassen, W; Gieskes, W; de Baar, H</t>
  </si>
  <si>
    <t>Comparison of modeled versus measured MSA:nss SO4= ratios:: A global analysis -: art. no. GB2006</t>
  </si>
  <si>
    <t>global biogeochemical cycles; marine phytoplankton-climate interactions; MSA : nss SO4= ratios</t>
  </si>
  <si>
    <t>SEA-SALT-SULFATE; DIMETHYL SULFIDE OXIDATION; METHANE SULFONIC-ACID; MARINE BOUNDARY-LAYER; GREENLAND ICE-SHEET; BIOGENIC SULFUR EMISSIONS; COASTAL ANTARCTIC AEROSOL; NORTH-ATLANTIC OCEAN; METHANESULFONIC-ACID; ATMOSPHERIC SULFUR</t>
  </si>
  <si>
    <t>The MSA:nss SO4= ratio, which is a measure of the relative marine biogenic contribution to the total atmospheric sulphur burden, has long been measured in various parts of the globe. Transect studies and observations from a network of stations have provided some idea of the spatial and temporal behavior of the ratio in various regions, but gaps in knowledge still exist in other parts of the globe. Here we present results of a global 3-D chemical transport modeling study which complement these measurements and provide a globe-wide picture of the spatial variation and distribution of this ratio. Comparison of modeled versus measured data on the MSA:nss SO4= ratio resulting from all sulphur sources considered shows fair model performance (i.e., a general overestimation of 23%; degrees of freedom = 90) in all areas of the globe where actual measurements of the ratio have been made. On the other hand, the model-observation comparisons for the MSA: nss SO4= ratio derived solely from the oceanic DMS source are not as satisfactory (an overall overestimation of a factor of 3; degrees of freedom = 50). The MSA:nss SO4= ratio that is derived from the oceanic DMS source alone provides information on the relative yields of MSA and SO4= from atmospheric DMS oxidation. Our model results are consistent with measurements, showing that the ratio is highest around the polar regions and lowest within the tropics. This spatial trend is attributed to the fact that MSA production occurs best under low temperatures ( maximum ambient temperature of 27degreesC). Despite MSA being preferably produced under low temperatures, observations at high latitudes have consistently shown summer maxima and winter minima in the MSA: nss SO4= ratio. This has raised many questions on the robustness of the theory of the MSA production mechanism. Diminished marine biological activity and low seawater DMS conditions in winter have widely been cited as the cause of this observed trend. In this study, we further propose that since photochemical hydroxyl radical (OH) production during the dark winter months at polar latitudes is non-existent, reduced wintertime oxidation of DMS by OH to form MSA results in summer maxima and winter minima in MSA concentrations at these latitudes. Temperature and marine biological activity are, therefore, not the only major determining factors for MSA production at high latitudes on a seasonal scale. Light conditions are also important. Throughout the year, the highest ratios occur in the Southern Hemisphere, where the atmospheric DMS burden is highest. This is in agreement with both short- and long-term measurements in literature.</t>
  </si>
  <si>
    <t>Univ Groningen, Dept Marine Biol, NL-9751 NN Haren, Netherlands; Univ Utrecht, Inst Marine &amp; Atmospher Res, NL-3584 CC Utrecht, Netherlands; Netherlands Inst Sea Res KNIOZ, NL-1790 AB Den Burg, Netherlands</t>
  </si>
  <si>
    <t>University of Groningen; Utrecht University; Utrecht University; Royal Netherlands Institute for Sea Research (NIOZ)</t>
  </si>
  <si>
    <t>Univ Groningen, Dept Marine Biol, Kerklaan 30, NL-9751 NN Haren, Netherlands.</t>
  </si>
  <si>
    <t>p.m.van.himbergen@biol.rug.nl; m.krol@phys.uu.nl; w.klaassen@biol.rug.nl; w.w.c.gieskes@biol.rug.nl; debaar@nioz.nl</t>
  </si>
  <si>
    <t>Krol, Maarten/B-3597-2010; Krol, Maarten/E-3414-2013</t>
  </si>
  <si>
    <t>Krol, Maarten/0000-0002-3506-2477</t>
  </si>
  <si>
    <t>GB2006</t>
  </si>
  <si>
    <t>10.1029/2003GB002144</t>
  </si>
  <si>
    <t>823KL</t>
  </si>
  <si>
    <t>WOS:000221610600001</t>
  </si>
  <si>
    <t>Darling, KF; Kucera, M; Pudsey, CJ; Wade, CM</t>
  </si>
  <si>
    <t>Molecular evidence links cryptic diversification in polar planktonic protists to quaternary climate dynamics</t>
  </si>
  <si>
    <t>PROCEEDINGS OF THE NATIONAL ACADEMY OF SCIENCES OF THE UNITED STATES OF AMERICA</t>
  </si>
  <si>
    <t>DIVERGENCE TIMES; ABSOLUTE RATES; DNA-SEQUENCES; ATLANTIC; EVOLUTION; SEA; FORAMINIFERA; VARIABILITY; SPECIATION; DIVERSITY</t>
  </si>
  <si>
    <t>It is unknown how pelagic marine protists undergo diversification and speciation. Superficially, the open ocean appears homogeneous, with few clear barriers to gene flow, allowing extensive, even global, dispersal. Yet, despite the apparent lack of opportunity for genetic isolation, diversity is prevalent within marine taxa. A lack of candidate isolating mechanisms would seem to favor sympatric over allopatric speciation models to explain the diversity and biogeographic patterns observed in the oceans today. However, the ocean is a dynamic system, and both current and past circulation patterns must be considered in concert to gain a true perspective of gene flow through time. We have derived a comprehensive picture of the mechanisms potentially at play in the high latitudes by combining molecular, biogeographic, fossil, and paleoceanographic data to reconstruct the evolutionary history of the polar planktonic foraminifer Neogloboquadrina pachyderma sinistral. We have discovered extensive genetic diversity within this morphospecies and that its current extreme polar affinity did not appear until late in its evolutionary history. The molecular data demonstrate a stepwise progression of diversification starting with the allopatric isolation of Atlantic Arctic and Antarctic populations after the onset of the Northern Hemisphere glaciation. Further diversification occurred only in the Southern Hemisphere and seems to have been linked to glacial-interglacial climate dynamics. Our findings demonstrate the role of Quaternary climate instability in shaping the modern high-latitude plankton. The divergent evolutionary history of N. pachyderma sinistral genotypes implies that paleoceanographic proxies based on this taxon should be calibrated independently.</t>
  </si>
  <si>
    <t>Univ Edinburgh, Sch Geosci, Edinburgh EH9 3JW, Midlothian, Scotland; Univ Edinburgh, Inst Cell Anim &amp; Populat Biol, Edinburgh EH9 3JW, Midlothian, Scotland; Royal Holloway Univ London, Dept Geol, Egham TW20 0EX, Surrey, England; British Antarctic Survey, Cambridge CB3 0ET, England; Univ Nottingham, Genet Inst, Nottingham NG7 2UH, England</t>
  </si>
  <si>
    <t>University of Edinburgh; University of Edinburgh; University of London; Royal Holloway University London; UK Research &amp; Innovation (UKRI); Natural Environment Research Council (NERC); NERC British Antarctic Survey; University of Nottingham</t>
  </si>
  <si>
    <t>Univ Edinburgh, Sch Geosci, Kings Bldg, Edinburgh EH9 3JW, Midlothian, Scotland.</t>
  </si>
  <si>
    <t>kate.darling@gig.ed.ac.uk</t>
  </si>
  <si>
    <t>Kucera, Michal/ABH-6065-2020; Kucera, Michal/AAE-8115-2020</t>
  </si>
  <si>
    <t>Kucera, Michal/0000-0002-7817-9018; Wade, Christopher/0000-0002-1269-9694</t>
  </si>
  <si>
    <t>Natural Environment Research Council [NER/J/S/2000/00860] Funding Source: researchfish</t>
  </si>
  <si>
    <t>NATL ACAD SCIENCES</t>
  </si>
  <si>
    <t>2101 CONSTITUTION AVE NW, WASHINGTON, DC 20418 USA</t>
  </si>
  <si>
    <t>0027-8424</t>
  </si>
  <si>
    <t>P NATL ACAD SCI USA</t>
  </si>
  <si>
    <t>Proc. Natl. Acad. Sci. U. S. A.</t>
  </si>
  <si>
    <t>10.1073/pnas.0402401101</t>
  </si>
  <si>
    <t>822GW</t>
  </si>
  <si>
    <t>WOS:000221528100032</t>
  </si>
  <si>
    <t>Park, YH; Roquet, F; Vivier, F</t>
  </si>
  <si>
    <t>Quasi-stationary ENSO wave signals versus the Antarctic Circumpolar Wave scenario</t>
  </si>
  <si>
    <t>SEA-ICE; INTERANNUAL VARIABILITY; SOUTHERN-OCEAN; ATMOSPHERE; ANOMALIES; CIRCULATION</t>
  </si>
  <si>
    <t>Two conflicting views on the causal mechanism of the Antarctic interannual variability often appear in the literature, i.e., whether it is remotely teleconnected to tropical ENSO events or is a self-sustained eastward propagating circumpolar wave generated locally by an ocean-atmosphere coupling mechanism. Using a Fourier decomposition into stationary and propagating components of several oceanic and atmospheric variables, we show that most of the Antarctic interannual variability can be explained by a geographically phase-locked standing wave train linked to tropical ENSO episodes. This ENSO-modulated quasi-stationary variability is not zonally uniform, rather, the strongest ENSO impact is consistently concentrated in the Pacific sector of the Southern Ocean. The eastward propagating wave component is found to be not only minor (25% of variability) but also intermittent in phase, yielding little support for the so-called Antarctic Circumpolar Wave scenario.</t>
  </si>
  <si>
    <t>Museum Natl Hist Nat, LODYC, Dept Milieux &amp; Peuplements Aquat, F-75005 Paris, France; Univ Paris 06, Lab Oceanog Dynam &amp; Climatol, F-75252 Paris 05, France</t>
  </si>
  <si>
    <t>Museum National d'Histoire Naturelle (MNHN); Sorbonne Universite</t>
  </si>
  <si>
    <t>Museum Natl Hist Nat, LODYC, Dept Milieux &amp; Peuplements Aquat, UMS402,43 Rue Cuvier, F-75005 Paris, France.</t>
  </si>
  <si>
    <t>yhpark@mnhn.fr</t>
  </si>
  <si>
    <t>Roquet, Fabien/N-3221-2019; Roquet, Fabien/D-4848-2013</t>
  </si>
  <si>
    <t>Roquet, Fabien/0000-0003-1124-4564; Vivier, Frederic/0000-0003-2539-4133</t>
  </si>
  <si>
    <t>MAY 13</t>
  </si>
  <si>
    <t>L09315</t>
  </si>
  <si>
    <t>10.1029/2004GL019806</t>
  </si>
  <si>
    <t>821PE</t>
  </si>
  <si>
    <t>WOS:000221473300004</t>
  </si>
  <si>
    <t>van den Broeke, M; Reijmer, C; van de Wal, R</t>
  </si>
  <si>
    <t>Surface radiation balance in Antarctica as measured with automatic weather stations</t>
  </si>
  <si>
    <t>polar meteorology; radiation balance; Antarctica</t>
  </si>
  <si>
    <t>DRONNING MAUD LAND; ENERGY BALANCE; ICE-SHEET; BOUNDARY-LAYER; MIZUHO STATION; HEAT-BALANCE; CLIMATE; SNOW; LINE; TEMPERATURE</t>
  </si>
  <si>
    <t>We present 4 years of near-surface radiation balance observations of four Antarctic automatic weather stations (AWS). The AWS are situated along a traverse line in Dronning Maud Land, connecting the coastal ice shelf and the inland plateau via the katabatic wind zone, covering the three major climate regimes of East Antarctica. Important differences in the radiation balance of the three regions are found. Clouds not only limit atmospheric transmissivity for shortwave radiation but also strongly enhance the albedo for the shortwave radiation that reaches the surface. As a result, the snow surface of the coastal ice shelves absorbs up to 65% less shortwave radiation in high summer than at the high plateau, where cloudy episodes and precipitation events are less frequent. In winter, over the slopes, katabatic winds maintain a continuous turbulent transport of sensible heat toward the surface, which enhances outgoing longwave radiation. As a result, the katabatic wind zone shows the largest longwave and all-wave radiation loss in winter and over the year. Clear-sky effective emissivity for incoming longwave radiation shows great spatial variability resulting from differences in vertical temperature and moisture profiles among the various climate zones.</t>
  </si>
  <si>
    <t>Univ Utrecht, Inst Marine &amp; Atmospher Res, POB 80005, NL-3508 TA Utrecht, Netherlands.</t>
  </si>
  <si>
    <t>Van den Broeke, Michiel R./0000-0003-4662-7565; van de wal, roderik/0000-0003-2543-3892; Reijmer, Carleen H/0000-0001-8299-3883</t>
  </si>
  <si>
    <t>MAY 12</t>
  </si>
  <si>
    <t>D9</t>
  </si>
  <si>
    <t>D09103</t>
  </si>
  <si>
    <t>10.1029/2003JD004394</t>
  </si>
  <si>
    <t>821PI</t>
  </si>
  <si>
    <t>WOS:000221473800004</t>
  </si>
  <si>
    <t>Nicholls, KW; Pudsey, CJ; Morris, P</t>
  </si>
  <si>
    <t>Summertime water masses off the northern Larsen C Ice Shelf, Antarctica</t>
  </si>
  <si>
    <t>WEDDELL SEA; PENINSULA; CIRCULATION; RETREAT; MODEL</t>
  </si>
  <si>
    <t>We report on oceanographic observations made at the northern end of Larsen C Ice Shelf in the western Weddell Sea. It appears that the Larsen C continental shelf is flushed not by High Salinity Shelf Water from the southern continental shelf, but by Modified Weddell Deep Water (MWDW) flowing across the shelf break. MWDW is observed at the ice front, having tracked west along the northward facing slopes of depressions that reach to the shelf break. Ice Shelf Water observed near the ice front is not, however, derived from MWDW directly, but from MWDW pre-conditioned by winter cooling and by salinification from sea ice production. If the ice shelf base generally is being melted only by pre-conditioned MWDW, then, contrary to recent suggestions, changes in the temperature of the deep Weddell Sea are unlikely to have a major impact on melt rates at the base of Larsen C Ice Shelf.</t>
  </si>
  <si>
    <t>MAY 7</t>
  </si>
  <si>
    <t>L09309</t>
  </si>
  <si>
    <t>10.1029/2004GL019924</t>
  </si>
  <si>
    <t>819RV</t>
  </si>
  <si>
    <t>WOS:000221333600006</t>
  </si>
  <si>
    <t>da Cunha, KD; Evangelista, H; Dalia, KC; Simoes, JC; Leite, CB</t>
  </si>
  <si>
    <t>Application of 252Cf-PDMS to characterize airborne particles deposited in an Antarctic glacier</t>
  </si>
  <si>
    <t>SCIENCE OF THE TOTAL ENVIRONMENT</t>
  </si>
  <si>
    <t>Antarctica; plasma desorption mass spectrometry (PDMS); ice cores; aerosols</t>
  </si>
  <si>
    <t>DESORPTION MASS-SPECTROMETRY; LARGE ORGANIC-MOLECULES; FULLERENES; SPECTROSCOPY; PENINSULA; CLIMATE; SURFACE; ENERGY; TIME; IONS</t>
  </si>
  <si>
    <t>The aim of this study is to apply the Cf-252- PDMS (plasma desorption mass spectrometry) technique to characterize particles deposited in ice samples. This technique allows identification of molecular ions, even large molecules, desorbed from the sample surface, in contrast with PIXE (particle induced X-ray emission) or EDS (energy dispersive spectrometry). Two shallow snow cores obtained from different glacial drainage basins on King George Island ice cap, South Shetland Islands (Antarctica), were analyzed by PDMS. The chemical compounds identified in the ice mass spectra show that the particle contents of both samples were statistically different, indicating a non-homogenous spatial deposition distribution for the deposited particles. The analysis of the ice mass spectra suggests some possible sources for the airborne particles. The mass spectra of ice samples collected at a site exposed directly to air masses coming from the Drake Passage show a significant contribution of particles from crustal and anthropogenic sources. However, the mass spectra of ice samples taken from a site on a slope towards a local inlet point out a high influence of marine aerosol. Therefore, it was concluded that particles deposited onto the ice cap were attributable to different aerosol sources, besides long-range atmospheric transport. The Cf-252-PDMS technique can be considered a powerful tool for studies of snow and ice samples, providing important information for understanding the global atmospheric transport and deposition of airborne particles. (C) 2003 Elsevier B.V All rights reserved.</t>
  </si>
  <si>
    <t>CNEN, IRD, BR-22780160 Rio De Janeiro, RJ, Brazil; Univ Estado Rio De Janeiro, DBB, LCR, Setor Radioecol,Pavilhao Haroldo Lisboa Cunha, BR-20550013 Rio De Janeiro, RJ, Brazil; Univ Fed Rio Grande do Sul, Lab Pesquisas Antaricas &amp; Glaciol, Dept Geografia, BR-91501970 Porto Alegre, RS, Brazil; Pontificia Univ Catolica Rio de Janeiro, BR-22451041 Rio De Janeiro, RJ, Brazil</t>
  </si>
  <si>
    <t>Comissao Nacional de Energia Nuclear (CNEN); Instituto de Radioprotecao e Dosimetria; Universidade do Estado do Rio de Janeiro; Universidade Federal do Rio Grande do Sul; Pontificia Universidade Catolica do Rio de Janeiro</t>
  </si>
  <si>
    <t>da Cunha, KD (corresponding author), CNEN, IRD, Av Salvador Allende S-N, BR-22780160 Rio De Janeiro, RJ, Brazil.</t>
  </si>
  <si>
    <t>kenya@ird.gov.br; heitor@uerj.br; jefferson.simoes@ufrgs.br; cvbl@vdg.fis.puc-rio.bi</t>
  </si>
  <si>
    <t>Simoes, Jefferson Cardia/D-7232-2013; Evangelista, Heitor/C-7561-2013</t>
  </si>
  <si>
    <t>Simoes, Jefferson Cardia/0000-0001-5555-3401;</t>
  </si>
  <si>
    <t>0048-9697</t>
  </si>
  <si>
    <t>1879-1026</t>
  </si>
  <si>
    <t>SCI TOTAL ENVIRON</t>
  </si>
  <si>
    <t>Sci. Total Environ.</t>
  </si>
  <si>
    <t>MAY 5</t>
  </si>
  <si>
    <t>10.1016/j.scitotenv.2003.10.005</t>
  </si>
  <si>
    <t>817WN</t>
  </si>
  <si>
    <t>WOS:000221207700010</t>
  </si>
  <si>
    <t>Lubin, D; Arrigo, KR; van Dijken, GL</t>
  </si>
  <si>
    <t>Increased exposure of Southern Ocean phytoplankton to ultraviolet radiation</t>
  </si>
  <si>
    <t>OZONE DEPLETION; ANTARCTICA; PHOTOSYNTHESIS; ALBEDO</t>
  </si>
  <si>
    <t>Satellite remote sensing of both surface solar ultraviolet radiation (UVR) and chlorophyll over two decades shows that biologically significant ultraviolet radiation increases began to occur over the Southern Ocean three years before the ozone hole'' was discovered. Beginning in October 1983, the most frequent occurrences of enhanced UVR over phytoplankton-rich waters occurred in the Weddell Sea and Indian Ocean sectors of the Southern Ocean, impacting 60% of the surface biomass by the late 1990s. These results suggest two reasons why more serious impacts to the base of the marine food web may not have been detected by field experiments: ( 1) the onset of UVR increases several years before dedicated field work began may have impacted the most sensitive organisms long before such damage could be detected, and ( 2) most biological field work has so far not taken place in Antarctic waters most extensively subjected to enhanced UVR.</t>
  </si>
  <si>
    <t>Univ Calif San Diego, Scripps Inst Oceanog, La Jolla, CA 92093 USA; Stanford Univ, Dept Geophys, Stanford, CA 94305 USA</t>
  </si>
  <si>
    <t>University of California System; University of California San Diego; Scripps Institution of Oceanography; Stanford University</t>
  </si>
  <si>
    <t>Lubin, D (corresponding author), Univ Calif San Diego, Scripps Inst Oceanog, La Jolla, CA 92093 USA.</t>
  </si>
  <si>
    <t>dlubin@ucsd.edu</t>
  </si>
  <si>
    <t>Van Dijken, Gert L/C-5276-2011</t>
  </si>
  <si>
    <t>Arrigo, Kevin/0000-0002-7364-876X; Van Dijken, Gert/0000-0002-9587-6317</t>
  </si>
  <si>
    <t>MAY 4</t>
  </si>
  <si>
    <t>L09304</t>
  </si>
  <si>
    <t>10.1029/2004GL019633</t>
  </si>
  <si>
    <t>819RS</t>
  </si>
  <si>
    <t>WOS:000221333200005</t>
  </si>
  <si>
    <t>Bonadonna, F; Villafane, M; Bajzak, C; Jouventin, P</t>
  </si>
  <si>
    <t>Recognition of burrow's olfactory signature in blue petrels, Halobaena caerulea:: an efficient discrimination mechanism in the dark</t>
  </si>
  <si>
    <t>ANTARCTIC SEABIRDS; STORM-PETREL; SHEARWATERS; LOCATION; BEHAVIOR; HOME</t>
  </si>
  <si>
    <t>Previous work has shown that blue petrels need olfaction to home. We investigated whether they also recognize an olfactory signature of their own nest. We performed T-maze experiments in which maze arms were connected with the subject bird's burrow and with the burrow of a conspecific neighbour. Of 23 birds, 16 were able to recognize the arm leading to their own burrow. In a second experiment, we positioned the maze in front of the subject's burrow but the maze arms were closed and did not enter the burrow. Consequently, no burrow odours could be sensed by the bird. In this case, 85% of birds (17 of 20) failed to choose, suggesting that petrels were not motivated to choose by positional cues in the absence of odour cues. We explored this idea further by performing a homing experiment whereby homing birds had to relocate an artificially displaced burrow entrance. Blue petrels homed, ignoring the natural burrow entrance and using the new artificial one. The ability to smell their own burrow allows blue petrels to return to the colony at night and to find the correct nest. (C) 2004 The Association for the Study of Animal Behaviour. Published by Elsevier Ltd. All rights reserved.</t>
  </si>
  <si>
    <t>CNRS, Ctr Ecol Fonct &amp; Evolut, Behav Ecol Grp, F-34293 Montpellier 5, France</t>
  </si>
  <si>
    <t>Universite PSL; Ecole Pratique des Hautes Etudes (EPHE); Institut Agro; Montpellier SupAgro; CIRAD; Centre National de la Recherche Scientifique (CNRS); Institut de Recherche pour le Developpement (IRD); Universite Paul-Valery; Universite de Montpellier</t>
  </si>
  <si>
    <t>CNRS, Ctr Ecol Fonct &amp; Evolut, Behav Ecol Grp, 19191 Route Mende, F-34293 Montpellier 5, France.</t>
  </si>
  <si>
    <t>bonadonna@cefe.cnrs-mop.fr</t>
  </si>
  <si>
    <t>MAY</t>
  </si>
  <si>
    <t>10.1016/j.anbehav.2003.08.013</t>
  </si>
  <si>
    <t>822LN</t>
  </si>
  <si>
    <t>WOS:000221541600009</t>
  </si>
  <si>
    <t>Axford, Y; Kaufman, DS</t>
  </si>
  <si>
    <t>Late glacial and Holocene glacier and vegetation fluctuations at Little Swift Lake, Southwestern Alaska, USA</t>
  </si>
  <si>
    <t>YOUNGER-DRYAS; AHKLUN MOUNTAINS; CLIMATIC-CHANGE; ARCTIC LAKE; 14,000 YR; RECORD; HISTORY; TEPHRA; AGE; ECOSYSTEM</t>
  </si>
  <si>
    <t>Multiproxy data from Little Swift Lake, an alpine lake in southwestern Alaska, provide evidence for pronounced late glacial and Holocene environmental change. An alpine glacier upvalley of Little Swift Lake retreated following the Younger Dryas chronozone, as evidenced by sedimentological changes in the take record. Glacier retreat was accompanied by local and regional vegetation changes, including the expansion of Betula and contraction of Cyperaceae, in response to climatic amelioration. Warm, moist conditions between similar to9800 and 8000 cal yr B.P. supported abundant Betula shrubs and high lake and watershed productivity. Alnus rapidly expanded near Little Swift Lake while the region cooled between 8000 and 7500 cal yr B.P. Environmental changes at Little Swift Lake appear to have been roughly synchronous with similar changes elsewhere in southwestern Alaska, but late glacial and Holocene changes in other parts of Alaska were different in nature and timing. The complex spatial and temporal patterns of late glacial and Holocene environmental change throughout Alaska point to the importance of local- and regional-scale factors, especially controls on moisture availability, as modulators of site-specific responses to hemispheric- and global-scale climate forcing.</t>
  </si>
  <si>
    <t>Univ Colorado, Inst Arctic &amp; Alpine Res, Boulder, CO 80309 USA; Univ Colorado, Dept Geol Sci, Boulder, CO 80309 USA; No Arizona Univ, Dept Geol, Flagstaff, AZ 86001 USA; No Arizona Univ, Dept Environm Sci, Flagstaff, AZ 86001 USA</t>
  </si>
  <si>
    <t>University of Colorado System; University of Colorado Boulder; University of Colorado System; University of Colorado Boulder; Northern Arizona University; Northern Arizona University</t>
  </si>
  <si>
    <t>yarrow.axford@colorado.edu; darrell.kaufman@nau.edu</t>
  </si>
  <si>
    <t>Kaufman, Darrell S/A-2471-2008; Axford, Yarrow/N-4151-2014</t>
  </si>
  <si>
    <t>Axford, Yarrow/0000-0002-8033-358X</t>
  </si>
  <si>
    <t>10.1657/1523-0430(2004)036[0139:LGAHGA]2.0.CO;2</t>
  </si>
  <si>
    <t>877DP</t>
  </si>
  <si>
    <t>WOS:000225548300001</t>
  </si>
  <si>
    <t>Cremer, H; Andreev, A; Hubberten, HW; Wischer, F</t>
  </si>
  <si>
    <t>Paleolimnological reconstructions of holocene environments and climate from Lake Lyadhej-To, Ural Mountains, Northern Russia</t>
  </si>
  <si>
    <t>KARA ICE-SHEET; TAYMYR PENINSULA; HISTORY; BARENTS; TREELINE; SIBERIA; VEGETATION; LOWLAND; MAXIMUM; DIATOMS</t>
  </si>
  <si>
    <t>A sediment core recovered in Lake Lyadhej-To at the northwestern edge of the Ural Mountains reflects the complete Holocene environmental history from similar to 11,000 cal. yr B.P. Five limnological episodes are identified in the diatom and geochemical records. The initial lake stage, Episode I (similar to 11,000-10,850 cal. yr B.P.) is characterized by the absence of biogenic production and a high influx of clastic sediments. Episode H (similar to 10,850-8650 cal. yr B.P.) is characterized by ice-free conditions during summer, highest bioproductivity, strong growth of planktic diatoms and anoxic bottom waters. This period represents the Holocene climatic optimum. Deterioration of climatic conditions commenced in Episode III (similar to8650-7000 cal. yr B.P.) as indicated by distinctly lower bioproductivity and longer persistence of winter ice on the lake. During Episode IV (similar to7000-2500 cal. yr B.P.), the diatom and pollen records indicate that temperatures were cool and the growing season was short. Finally, in Episode V (similar to2500 cal. yr B.P. to present), limnological conditions, indicated by increased organic carbon and diatom deposition, initially suggest improved conditions followed by a return to modem conditions beginning similar to500 cal. yr B.P. The pollen stratigraphy from Lake Lyadhej-To is consistent with other paleoclimatic records from northern Eurasia, confirming rapid postglacial warming, the presence of dense tree forests during the climatic optimum, and finally a gradual southward retreat of the treeline towards its modem location.</t>
  </si>
  <si>
    <t>Univ Utrecht, Dept Palaeoecol, Palaeobot &amp; Palynol Lab, NL-3584 CD Utrecht, Netherlands; Alfred Wegener Inst Fdn Polar &amp; Marine Res, Res Dept Potsdam, D-14473 Potsdam, Germany</t>
  </si>
  <si>
    <t>Utrecht University; Helmholtz Association; Alfred Wegener Institute, Helmholtz Centre for Polar &amp; Marine Research</t>
  </si>
  <si>
    <t>Andreev, Andrei A/J-2701-2015</t>
  </si>
  <si>
    <t>Andreev, Andrei A/0000-0002-8745-9636</t>
  </si>
  <si>
    <t>10.1657/1523-0430(2004)036[0147:PROHEA]2.0.CO;2</t>
  </si>
  <si>
    <t>Green Submitted, Green Accepted</t>
  </si>
  <si>
    <t>WOS:000225548300002</t>
  </si>
  <si>
    <t>Lafrenière, MJ; Sharp, MJ</t>
  </si>
  <si>
    <t>The concentration and fluorescence of dissolved organic carbon (DOC) in glacial and nonglacial catchments:: Interpreting hydrological flow routing and DOC sources</t>
  </si>
  <si>
    <t>HUMIC SUBSTANCES; ARCTIC GLACIER; MATTER; CRYOCONITE; COLORADO; STREAM; ACIDS; MICROORGANISMS; SOILS; LAKE</t>
  </si>
  <si>
    <t>The concentration and fluorescence characteristics of dissolved organic carbon (DOC) from surface waters in glacial and nonglacial catchments were used to investigate the provenance of DOC and flow routing of runoff from glacial and nonglacial environments. Seasonal trends in DOC concentration and fluorescence in the Bow River indicate that DOC in nonglacial runoff originates primarily from soil and plant organic matter that is flushed to the stream by shallow subsurface flow at the onset of snowmelt. Snowmelt in ice-free areas of the glacial catchment also appears to be routed through the shallow subsurface, but this snowmelt runoff has much less contact with organic soils or litter, than snowmelt runoff from the nonglacial catchment. The fluorescence of DOC in the Glacial stream in summer (when most runoff originates from ice-covered areas), suggests that DOC from glaciated regions is more microbial in character than that derived from ice-free areas. Summer rainstorms in the Glacial catchment flushed DOC derived from catchment soils and plants by displacing concentrated pre-event waters from the shallow subsurface to the stream.</t>
  </si>
  <si>
    <t>Univ Alberta, Dept Earth &amp; Atmospher Sci, Edmonton, AB T6G 2E3, Canada</t>
  </si>
  <si>
    <t>Lafrenière, MJ (corresponding author), Univ Alberta, Dept Earth &amp; Atmospher Sci, 1-16 Earth Sci Bldg, Edmonton, AB T6G 2E3, Canada.</t>
  </si>
  <si>
    <t>melissa.lafreniere@ualberta.ca</t>
  </si>
  <si>
    <t>Lafreniere, Melissa/0000-0002-9639-6825</t>
  </si>
  <si>
    <t>10.1657/1523-0430(2004)036[0156:TCAFOD]2.0.CO;2</t>
  </si>
  <si>
    <t>WOS:000225548300003</t>
  </si>
  <si>
    <t>Gagen, M; McCarroll, D; Edouard, JL</t>
  </si>
  <si>
    <t>Latewood width, maximum density, and stable carbon isotope ratios of pine as climate indicators in a dry subalpine environment, French Alps</t>
  </si>
  <si>
    <t>TREE-RINGS; NORTHERN FINLAND; PICEA-ABIES; SYLVESTRIS; CELLULOSE; SITE; FLUCTUATIONS; TEMPERATURE; VARIABILITY; DELTA-C-13</t>
  </si>
  <si>
    <t>Pine latewood width, density, and stable carbon isotope ratios were measured at two sites, separated in altitude by 400 m, close to the forest limit on a south-facing slope in the western French Alps. The signal to noise ratio in the delta(13)C series from each site is higher than that of either of the growth proxies. When the sites are combined, the high-frequency climate signal in the delta(13)C series is enhanced, whereas in both the ring width and density series it is weakened. Because regional climate dominates over local site condition S, delta(13)C ratios from long pine chronologies will provide a better indicator of past climate than either ring widths or densities. At dry Alpine sites, delta(13)C values are controlled mainly by stomatal conductance, which is linked to summer moisture stress and thus antecedent precipitation.</t>
  </si>
  <si>
    <t>Univ Coll Swansea, Dept Geog, Swansea SA2 8PP, W Glam, Wales; Fac Sci &amp; Tech St Jerome, Inst Mediterraneen Ecol &amp; Paleoecol, F-13397 Marseille 20, France</t>
  </si>
  <si>
    <t>Swansea University; Aix-Marseille Universite</t>
  </si>
  <si>
    <t>Univ Coll Swansea, Dept Geog, Singleton Pk, Swansea SA2 8PP, W Glam, Wales.</t>
  </si>
  <si>
    <t>m.h.gagen@swansea.ac.uk</t>
  </si>
  <si>
    <t>McCarroll, Danny/E-5749-2011</t>
  </si>
  <si>
    <t>McCarroll, Danny/0000-0002-5992-5070</t>
  </si>
  <si>
    <t>10.1657/1523-0430(2004)036[0166:LWMDAS]2.0.CO;2</t>
  </si>
  <si>
    <t>WOS:000225548300004</t>
  </si>
  <si>
    <t>Kullman, L</t>
  </si>
  <si>
    <t>Early Holocene appearance of Mountain Birch (Betula pubescens ssp tortuosa) at unprecedented high elevations in the Swedish Scandes:: Megafossil evidence exposed by recent snow and ice recession</t>
  </si>
  <si>
    <t>TREE-LIMIT; CLIMATE-CHANGE; GLACIER FLUCTUATIONS; ENVIRONMENTAL-CHANGE; WESTERN NORWAY; CENTRAL SWEDEN; PICEA-ABIES; POLLEN; LAKE; ALPS</t>
  </si>
  <si>
    <t>Megafossil wood remnants (trunks and roots) of mountain birch (Betula pubescens ssp. tortuosa) were retrieved from the alpine tundra of the southern Swedish Scandes (the Sylama Mountains). The samples have recently become exposed by rapid recession of glaciers and snow patches at three sites located 630 to 350 m higher than the present-day birch tree-limit and 350 to 80 m higher than the early Holocene pine limit. Radiocarbon dating yielded ages ranging between 8700 and 6200 B.P. (9700-7000 cal B.P.). This is the first direct evidence of past tree growth at such high elevations in the Scandes, relative to the modem tree-limit. The overall situation with uniquely high tree-limits and absence of glaciers suggests a climate with generally drier and warmer summers than during any later part (secular-millennial scale) of the Holocene. Corrected for glacioisostatic land-uplift, summers around 8700 B.P. may have been about 3degreesC warmer than at present. This inference is compatible with the Milankovitch model of orbital climate forcing during the course of the Holocene, implying a gradually increasing maritime climate (less seasonal), with a heavier snowpack. As a consequence, alpine snowfields started to develop over the period 8700-6200 B.P., causing demise and burial of the highest metapopulations of mountain birch. At lower elevations, where snow accumulation had previously been suboptimal for birch, this species could now benefit from a deeper and more persistent snow cover. Since about 7000 B.P., a distinct mountain birch belt has been a characteristic feature in this pan of the Scandes. The exposure of mountain birch megafossils relates to substantial 20th-century warming, reaching a peak in the past few years. Evidently, this is an exceptional occurrence in the context of several past millennia.</t>
  </si>
  <si>
    <t>Leif.Kullman@eg.umu.se</t>
  </si>
  <si>
    <t>10.1657/1523-0430(2004)036[0172:EHAOMB]2.0.CO;2</t>
  </si>
  <si>
    <t>WOS:000225548300005</t>
  </si>
  <si>
    <t>Millar, CI; Westfall, RD; Delany, DL; King, JC; Graumlich, LJ</t>
  </si>
  <si>
    <t>Response of subalpine conifers in the Sierra Nevada, California, USA, to 20th-century warming and decadal climate variability</t>
  </si>
  <si>
    <t>VOLCANIC-NATIONAL-PARK; PINE PINUS-ALBICAULIS; WHITEBARK-PINE; TIMBERLINE CONIFERS; INTERDECADAL VARIABILITY; CUTICULAR TRANSPIRATION; LODGEPOLE PINE; TREE INVASION; NORTH PACIFIC; GROWTH</t>
  </si>
  <si>
    <t>Four independent studies of conifer growth between 1880 and 2002 in upper elevation forests of the central Sierra Nevada, California, U.S.A., showed correlated multidecadal and century-long responses associated with climate. Using tree-ring and ecological plot analysis, we studied annual branch growth of krummholz Pinus albicaulis; invasion by P. albicaulis and Pinus monticola into formerly persistent snowfields; dates of vertical branch emergence in krummholz P. albicaulis; and invasion by Pinus contorta into subalpine meadows. Mean annual branch growth at six treeline sites increased significantly over the 20th century (range 130-400%), with significant accelerations in rate from 1920 to 1945 and after 1980. Growth stabilized from 1945 to 1980. Similarly, invasion of six snowfield slopes began in the early 1900s and continued into snowfield centers throughout the 20th century, with significantly accelerated mean invasion from 1925 to 1940 and after 1980. Rate of snowfield invasion decreased between 1950 and 1975. Meadow invasion and vertical leader emergence showed synchronous, episodic responses. Pinus contorta invaded each of ten subalpine meadows in a distinct multidecadal pulse between 1945 and 1976 (87% of all trees) and vertical release in five krummholz P. albicaulis sites also occurred in one pulse between 1945 and 1976 (86% of all branches). These synchronies and lack of effect of local environments implicate regional climate control. Composite weather records indicated significant century-long increases in minimum monthly temperature and multidecadal variability in minimum temperature and precipitation. All ecological responses were significantly correlated with minimum temperature. Significant interactions among temperature, precipitation, Pacific Decadal Oscillation (PDO) indices, and multiyear variability in moisture availability further explained episodic ecological responses. Four multidecadal periods of the 20th century that are defined by ecological response (&lt; 1925; 1925-1944; 1945-1976; &gt; 1976) correlate with positive and negative PDO phases, as well as with steps in the rate of temperature increase. These diverse factors in spatially distributed upper-montane and treeline ecosystems respond directionally to century-long climate trends, and also exhibit abrupt and reversible effects as a consequence of interdecadal climate variability and complex interactions of temperature and moisture.</t>
  </si>
  <si>
    <t>US Forest Serv, Sierra Nevada Res ctr, Pacific SW Res Stn, USDA, Albany, CA 94710 USA; Univ Arizona, Tree Ring Res Lab, Tucson, AZ 85721 USA; Montana State Univ, Big Sky Inst Sci &amp; Nat Hist, Bozeman, MT 59717 USA</t>
  </si>
  <si>
    <t>United States Department of Agriculture (USDA); United States Forest Service; University of Arizona; Montana State University System; Montana State University Bozeman</t>
  </si>
  <si>
    <t>Millar, CI (corresponding author), US Forest Serv, Sierra Nevada Res ctr, Pacific SW Res Stn, USDA, 800 Buchanan St, Albany, CA 94710 USA.</t>
  </si>
  <si>
    <t>cmillar@fs.fed.us</t>
  </si>
  <si>
    <t>Graumlich, Lisa/A-1421-2012; Graumlich, Lisa J/B-6830-2009</t>
  </si>
  <si>
    <t>Westfall, Bob/0000-0002-8315-3322; King, John/0000-0002-1036-3476</t>
  </si>
  <si>
    <t>10.1657/1523-0430(2004)036[0181:ROSCIT]2.0.CO;2</t>
  </si>
  <si>
    <t>WOS:000225548300006</t>
  </si>
  <si>
    <t>Johnston, FM; Johnston, SW</t>
  </si>
  <si>
    <t>Impacts of road disturbance on soil properties and on exotic plant occurrence in subalpine areas of the Australian Alps</t>
  </si>
  <si>
    <t>SOUTHERN NEW-ZEALAND; FOREST ROADS; VEGETATION; LANDSCAPE; USA; REVEGETATION; COMMUNITIES; INVASIONS; RICHNESS; HABITAT</t>
  </si>
  <si>
    <t>The construction and maintenance of roads in the Australian Alps has caused profound disturbance to the natural existing soil and vegetation, as well as the introduction and proliferation of exotic plant species. This study examined three ecotypes associated with roads. These ecotypes were tested for differences in soil characteristics and occurrence of different plant species. Differences in chemical and physical soil properties were found between road verges and adjacent native vegetation areas. Soils from natural areas had higher humus levels, less gravel and sand, higher levels of nutrients, and higher pH and electrical conductivity than road verges. A relationship was found between soil properties and the occurrence of different exotic plant species along roadsides. Exotics dominated in areas along the road verge and road drainage lines. The dominant exotic found in these ecotypes was Achillea millefolium (yarrow). These ecotypes were characterized by high water and sediment wash off, which had significantly higher soil pH and exchangeable levels of calcium and potassium than natural areas and disturbed areas without yarrow.</t>
  </si>
  <si>
    <t>Griffith Univ, Sch Environm &amp; Appl Sci, Gold Coast, Qld 9726, Australia; Australian Natl Univ, Sch Resource &amp; Environm Sci, Dept Forestry, Canberra, ACT 0200, Australia</t>
  </si>
  <si>
    <t>Griffith University; Griffith University - Gold Coast Campus; Australian National University</t>
  </si>
  <si>
    <t>Johnston, FM (corresponding author), Griffith Univ, Sch Environm &amp; Appl Sci, PMB 50, Gold Coast, Qld 9726, Australia.</t>
  </si>
  <si>
    <t>frances.johnston@bigpond.com</t>
  </si>
  <si>
    <t>10.1657/1523-0430(2004)036[0201:IORDOS]2.0.CO;2</t>
  </si>
  <si>
    <t>WOS:000225548300007</t>
  </si>
  <si>
    <t>Lewkowicz, AG; Coultish, TL</t>
  </si>
  <si>
    <t>Beaver damming and palsa dynamics in a subarctic mountainous environment, Wolf Creek, Yukon Territory, Canada</t>
  </si>
  <si>
    <t>NORTHWEST-TERRITORIES; GROUND TEMPERATURES; SOUTHERN NORWAY; ALPINE ZONE; PERMAFROST; CLIMATE; GROWTH; DOVREFJELL; QUEBEC; COAST</t>
  </si>
  <si>
    <t>The growth, longevity, and decay of mineral-cored palsas at an altitudinal treeline site in the southern Yukon all appear to be significantly affected by the activities of beaver (Castor canadensis). The palsas are composed of stratified, fine-grained, organic-rich, frost-susceptible deposits, which are interpreted as originating from sedimentation in beaver ponds. Peat development, which is a precondition for mound formation, takes place in the adjacent wetland, in part due to poor drainage because of dams. Palsa degradation over the past 55 yr preferentially followed flooding due to dam construction. Drainage of ponds by dam breach was succeeded by mound formation in aggrading permafrost. Unlike previous studies, therefore, it is impossible to infer a clear climate signal from palsa dynamics at this location.</t>
  </si>
  <si>
    <t>Univ Ottawa, Dept Geog, Ottawa, ON K1N 6N5, Canada</t>
  </si>
  <si>
    <t>Univ Ottawa, Dept Geog, Ottawa, ON K1N 6N5, Canada.</t>
  </si>
  <si>
    <t>alewkowi@uottawa.ca</t>
  </si>
  <si>
    <t>Lewkowicz, Antoni G/B-4077-2013</t>
  </si>
  <si>
    <t>10.1657/1523-0430(2004)036[0208:BDAPDI]2.0.CO;2</t>
  </si>
  <si>
    <t>WOS:000225548300008</t>
  </si>
  <si>
    <t>Cui, XY; Tang, YH; Gu, S; Shi, SB; Nishimura, S; Zhao, XQ</t>
  </si>
  <si>
    <t>Leaf orientation, incident sunlight, and photosynthesis in the alpine species Suassurea superba and Gentiana straminea on the Qinghai-Tibet Plateau</t>
  </si>
  <si>
    <t>LOW-TEMPERATURE PHOTOINHIBITION; PHOTOSYSTEM-II; WATER-STRESS; PLANT FORM; ACCLIMATION; LIGHT; CONDUCTANCE; DROUGHT; LEAVES; PHOTORESPIRATION</t>
  </si>
  <si>
    <t>The extremely high level of solar radiation on the Qinghai-Tibet Plateau may induce photoinhibition and thus limit leaf carbon gain. To assess the effect of high light, we examined gas exchange and chlorophyll fluorescence for two species differing in light interception: the prostrate Saussurea superba and the erect-leaved Gentiana straminea. In controlled conditions with favorable water and temperature, neither species showed apparent photoinhibition in gas exchange measurements. In natural environment, however, their photosynthetic rate decreased remarkably at high light. Photosynthesis depression was aggravated under high leaf temperature or soil water stress. Relative stomatal limitation was much higher in S. superba than in G. straminea and it remarkably increased in the later species at midday when soil was dry. F-v/F-m as an indicator for photoinhibition was generally higher in S. superba than in the other species. F-v/F-m decreased significantly under high light at midday in both species, even when soil moisture was high. F-0 linearly elevated with the increment of leaf temperature in G. straminea, but remained almost constant in S. superba. Electron transport rate (ETR) increased with photosynthetically active photon flux density (PPFD) in S. superba, but declined when PPFD was high than about 1000 mumol m(-2) s(-1) in G. straminea. Compared to favorable environment, the estimated daily leaf carbon gain at PPFD above 800 mumol m(-2) s(-1) was reduced by 32% in S. superba and by 17% in G. straminea when soil was moist, and by 43% and 53%, respectively, when soil was dry. Our results suggest that the high radiation induces photoinhibition and significantly limits photosynthetic carbon gain, and the limitation may further increase at higher temperature and in dry soil.</t>
  </si>
  <si>
    <t>Natl Inst Environm Studies, Tsukuba, Ibaraki 3058506, Japan; Chinese Acad Sci, Grad Sch, Beijing 100091, Peoples R China; Chinese Acad Sci, NW Plateau Inst Biol, Xining 810001, Peoples R China; Natl Inst Agroenvironm Sci, Tsukuba, Ibaraki 3058604, Japan</t>
  </si>
  <si>
    <t>National Institute for Environmental Studies - Japan; Chinese Academy of Sciences; University of Chinese Academy of Sciences, CAS; Chinese Academy of Sciences; Northwest Institute of Plateau Biology, CAS; National Institute for Agro-Environmental Sciences (NIAES) Japan</t>
  </si>
  <si>
    <t>Natl Inst Environm Studies, Onogawa 16-2, Tsukuba, Ibaraki 3058506, Japan.</t>
  </si>
  <si>
    <t>cuixy@gscas.ac.cn; tangyh@nies.go.jp</t>
  </si>
  <si>
    <t>Tang, Yanhong/KHW-2689-2024; Tang, Yanhong/B-1699-2010; cui, xiao yong/B-3669-2016</t>
  </si>
  <si>
    <t>Tang, Yanhong/0000-0001-7207-1965; cui, xiao yong/0000-0001-7592-5866</t>
  </si>
  <si>
    <t>10.1657/1523-0430(2004)036[0219:LOISAP]2.0.CO;2</t>
  </si>
  <si>
    <t>WOS:000225548300009</t>
  </si>
  <si>
    <t>Welling, P; Tolvanen, A; Laine, K</t>
  </si>
  <si>
    <t>The alpine soil seed standing vegetation bank in relation to field seedlings and in subarctic Finland</t>
  </si>
  <si>
    <t>BURIED VIABLE SEEDS; GERMINATION RESPONSES; DYNAMICS; RAIN; RECRUITMENT; PERSISTENCE; DISTURBANCE; HABITATS; FLORA; SIZE</t>
  </si>
  <si>
    <t>This study investigated the relationship of seed bank and field seedlings on the structure of standing vegetation. We also studied the roles in sexual regeneration of seed size, diaspore morphology, and the ability to regenerate vegetatively. Seed banks, field seedlings, and standing vegetation were sampled in 8 subarctic plant communities in Kilpisjarvi, Finland, in, 1995-1998. The seed bank densities varied from 99 to, 1109 viable seeds m(2-1) and decreased toward higher altitudes. The seed bank densities were significantly larger than the field seedling densities in the closed vegetation of the lower slopes, whereas the differences were smaller in the open, late-melting snowbeds on higher slopes. The species that occurred only in the seed bank had small seeds or appendaged diaspores. The field seedling densities were high in plant communities dominated by species with ineffective vegetative reproduction or by species with diaspores and with pappus. The floristic similarity was low between the seed bank, field seedlings, and standing vegetation. The nonmetric multidimensional scaling revealed that the species diversity was lower in the seed banks than in standing vegetation and field seedlings. The results indicate that all transitions equally constrain the sexual regeneration of vegetation. Clonality, very small and very large seed sizes, appendaged diaspores, and possibly narrow first leaves in seedlings are traits that limit the transition of plants from standing vegetation to the phase of field seedlings via seed bank. Persistent seed bank has a minor role compared to clonal growth in the regulation of vegetation structure.</t>
  </si>
  <si>
    <t>Univ Oulu, Dept Biol, Oulu 90014, Finland</t>
  </si>
  <si>
    <t>University of Oulu</t>
  </si>
  <si>
    <t>Anne.Tolvanen@metla.fi</t>
  </si>
  <si>
    <t>Tolvanen, Anne/I-5873-2015; Tolvanen, Anne/AAY-3765-2020; Tolvanen, Anne/AAP-8246-2020</t>
  </si>
  <si>
    <t>Tolvanen, Anne/0000-0002-5304-7510;</t>
  </si>
  <si>
    <t>10.1657/1523-0430(2004)036[0229:TASSBI]2.0.CO;2</t>
  </si>
  <si>
    <t>WOS:000225548300010</t>
  </si>
  <si>
    <t>Ruotsalainen, AL; Väre, H; Oksanen, J; Tuomi, J</t>
  </si>
  <si>
    <t>Root fungus colonization along an altitudinal gradient in North Norway</t>
  </si>
  <si>
    <t>ARBUSCULAR MYCORRHIZAL FUNGI; RANUNCULUS-ADONEUS; ALPINE; PLANT; INFECTION; COMMUNITIES; PHOSPHORUS; GRASSES; SYSTEMS; TENUIS</t>
  </si>
  <si>
    <t>Mycorrhizal symbiosis is generally advantageous for plants in nutrient-poor soils, but this advantage may be low in arcto-alpine conditions. While the relative coverage of nonmycorrhizal plant species has been found to increase along an altitudinal gradient, the within-species patterns of mycorrhizal colonization in arctic and alpine plants are not well known, and different results have been obtained in relation to altitude. We investigated arbuscular mycorrhizal (AM) and dark-septate endophytic (DSE) root colonization in six subarctic herbaceous plants Ranunculus glacialis L., Saxifraga aizoides L., Sibbaldia procumbens L., Solidago virgaurea L., Trientalis europaea L., and Viola biflora L. along an altitudinal gradient (0-1400 m a.s.l.) at Mt. Paras, North Norway. We did not find any consistent decline in the different types of fungus colonization along the entire gradient. There was no statistically significant shift in coarse AM or DSE colonization with altitude. However, fine endophyte type AM colonization showed a statistically significant, positive relationship with altitude. These results suggest that root colonization of any particular mycorrhizal species may yield different gradient patterns with altitude than the relative coverages of mycorrhizal and nonmycorrhizal plant taxa. Because of its positive association with altitude, fine endophyte colonization may have a specific role in the nutrition of arctic and alpine plants.</t>
  </si>
  <si>
    <t>Univ Oulu, Dept Biol, FIN-90014 Oulu, Finland; Univ Helsinki, Finnish Museum Nat Hist, Bot Museum, FIN-00014 Helsinki, Finland</t>
  </si>
  <si>
    <t>University of Oulu; University of Helsinki</t>
  </si>
  <si>
    <t>Ruotsalainen, AL (corresponding author), Univ Oulu, Dept Biol, POB 3000, FIN-90014 Oulu, Finland.</t>
  </si>
  <si>
    <t>annu.ruotsalainen@oulu.fi</t>
  </si>
  <si>
    <t>Oksanen, Jari/A-5236-2013; Oksanen, Jari/P-4254-2019</t>
  </si>
  <si>
    <t>Oksanen, Jari/0000-0001-7102-9626</t>
  </si>
  <si>
    <t>10.1657/1523-0430(2004)036[0239:RFCAAA]2.0.CO;2</t>
  </si>
  <si>
    <t>WOS:000225548300011</t>
  </si>
  <si>
    <t>Putkonen, JK</t>
  </si>
  <si>
    <t>Continuous snow and rain data at 500 to 4400 m altitude near Annapurna, Nepal, 1999-2001</t>
  </si>
  <si>
    <t>EROSION</t>
  </si>
  <si>
    <t>Knowledge of spatial and altitudinal variations in precipitation in high mountains is integral to quantifying alpine climates and to calibrating interactions between climate and surface processes. To date, however, few meteorological networks exist in alpine settings. A network of 14 meteorological stations was installed across the Annapurna Range in central Nepal in 1999 and expanded in subsequent years to 19 stations. In order to measure snow depths and water equivalents in high-altitude sites, a combination of look-down distance rangers and gamma-ray loggers was installed at 5 sites. The data from this network delineate a strong south-to-north gradient in monsoonal precipitation. Precipitation peaks at 5032 mm yr(-1) at about 3000 m altitude on the southern side, which is also approximately the lowest altitude of winter snow in the area. Annual precipitation decreases to similar to1100 mm yr(-1) in the rain shadow to the north of the Himalayan crest. Although snow depth and snow water equivalent content are strongly dependent on station altitude, snow depth shows little spatial variation at a given altitude, partly due to the surprisingly low local wind speeds. Based on extrapolation of mean monthly summer lapse rate of air temperature, only snow precipitates above 5883 m.</t>
  </si>
  <si>
    <t>Univ Washington, Quaternary Res Ctr, Seattle, WA 98195 USA; Univ Washington, Dept Earth &amp; Space Sci, Seattle, WA 98195 USA</t>
  </si>
  <si>
    <t>University of Washington; University of Washington Seattle; University of Washington; University of Washington Seattle</t>
  </si>
  <si>
    <t>Univ Washington, Quaternary Res Ctr, MS 351310, Seattle, WA 98195 USA.</t>
  </si>
  <si>
    <t>putkonen@u.washington.edu</t>
  </si>
  <si>
    <t>10.1657/1523-0430(2004)036[0244:CSARDA]2.0.CO;2</t>
  </si>
  <si>
    <t>WOS:000225548300012</t>
  </si>
  <si>
    <t>Cogley, JG; Jung-Rothenhäusler, F</t>
  </si>
  <si>
    <t>Uncertainty in digital elevation models of Axel Heiberg Island, Arctic Canada</t>
  </si>
  <si>
    <t>SPATIAL DATABASES; ERROR</t>
  </si>
  <si>
    <t>We analyze errors in several digital elevation models (DEMs) of part of Axel Heiberg Island, Nunavut, Canada. We define total error as the sum of map-reading error, which measures the fidelity of the DEM to the map, and mapping error, which measures the fidelity of the map to the terrain. Three of the DEMs derive from estimates made by eye on maps prepared for research purposes and having scales of 1:10,000 (10K), 1:50,000 (50K) and 1:100,000 (100K), while two are based on spatial interpolation from published topographic maps of scale 1:250,000 (250K) and 1: 1 000,000 (1M). Map-reading errors are reduced markedly by proofreading, and are unbiased but not normally distributed. They are also moderately correlated, with decorrelation distances of 1 to 3 DEM resolution elements. Replicate readings from maps 10K and 50K have rms differences of about 20 m, a figure which shrinks to 12 m when gross errors are identified and excluded. These differences represent the mapping errors. Total error in the 10K DEM may range from similar to1 m up to, at worst, similar to19 m, while for the 50K DEM the total error may reach 20 m. Excluding gross errors, the worst-case estimates of total error decrease to 11-12 m. Total error is estimated as 90 m for 250K and 158 m for 1M. We show that map-reading error is small in comparison with mapping error. However there are three obstacles to formal description of total DEM error. First, there is no objective basis for partitioning the mapping error between the two maps of a comparison pair. Second, gross errors cannot be accommodated satisfactorily. Third, because the usual statistical assumptions are violated the errors define confidence regions narrower than the usual 68% by some unknown amount. Maps of larger scale have steeper slopes. Differences in the frequency distribution of slopes are such that a simple additive correction would worsen, not improve, the gentle-slope bias of the smaller-scale DEMs. Elevation errors are roughly equal to one half of the contour interval of the parent map. It is not obvious why this should be so, but as a practical rule of thumb it should perform well.</t>
  </si>
  <si>
    <t>Trent Univ, Dept Geog, Peterborough, ON K9J 7B8, Canada</t>
  </si>
  <si>
    <t>Trent University</t>
  </si>
  <si>
    <t>Cogley, JG (corresponding author), Trent Univ, Dept Geog, Peterborough, ON K9J 7B8, Canada.</t>
  </si>
  <si>
    <t>gcogley@trentu.ca</t>
  </si>
  <si>
    <t>10.1657/1523-0430(2004)036[0249:UIDEMO]2.0.CO;2</t>
  </si>
  <si>
    <t>WOS:000225548300013</t>
  </si>
  <si>
    <t>Burgess, DO; Sharp, MJ</t>
  </si>
  <si>
    <t>Recent changes in areal extent of the Devon Ice Cap, Nunavut, Canada</t>
  </si>
  <si>
    <t>GLACIERS; ISLAND</t>
  </si>
  <si>
    <t>Image data from the years 1959/1960 and 1999/2000 reveal a 2.4% decrease in the surface area of the Devon Ice Cap, Nunavut, over the last 40 yr. This has resulted primarily from extensive retreat of tidewater glacier margins on the eastern side of the ice cap, and shrinkage of its near-stagnant southwestern arm. Thinning of the ice cap has also increased bedrock exposure in the ice cap interior. However, since 1960 the northwestern margin of the ice cap has advanced slightly. Volume loss associated with these changes was estimated at -67 +/- 12 km(3) as calculated from two independent techniques. A digital elevation model (DEM) of the ice cap surface was used to delineate interior ice divides allowing patterns of change to be investigated at the drainage basin scale. Strong correlation between the hypsometric characteristics of drainage basins and the observed changes in ice-cap geometry suggests that these changes reflect interbasin differences in the inherent sensitivity of glacier mass balance to recent climate forcing. Response time calculations indicate that most of the ice cap is responding to recent climate warming, whereas the northwestern region is likely still responding to cooler conditions that prevailed during the Little Ice Age (LIA).</t>
  </si>
  <si>
    <t>Univ Alberta, Dept Earth &amp; Atmospher Sci, Edmonton, AB T6G 2E3, Canada.</t>
  </si>
  <si>
    <t>dob@ualberta.ca</t>
  </si>
  <si>
    <t>10.1657/1523-0430(2004)036[0261:RCIAEO]2.0.CO;2</t>
  </si>
  <si>
    <t>WOS:000225548300014</t>
  </si>
  <si>
    <t>Shea, JM; Marshall, SJ; Livingston, JM</t>
  </si>
  <si>
    <t>Glacier distributions and climate in the Canadian Rockies</t>
  </si>
  <si>
    <t>MASS-BALANCE; ATMOSPHERIC CIRCULATION; WESTERN CANADA; PRECIPITATION; VARIABILITY; WASHINGTON</t>
  </si>
  <si>
    <t>Glacier-climate relationships in the Canadian Rockies have been documented previously through mass-balance studies of individual glaciers and local meteorological parameters. In terms of regional significance, however, the relationship between the areal distribution of glaciers and regional climate is perhaps more important in evaluating large-scale responses to climate forcings. The purpose of the current study is to establish which climate variables are responsible for the observed distribution of glaciers. Using a 1:50,000 digitized coverage of glaciers in the Canadian Rockies, a 1-km resolution Digital Elevation Model (DEM) and climate normals from 88 stations throughout the study area, the authors examine the correlation between climate variables and the distribution of glacial ice in the Canadian Rockies. Through the construction of climatic lapse rates, sea-surface interpolation, and subsequent extrapolation based on the DEM, simple cell climatologies that reflect both the altitudinal and regional variations in temperature and precipitation are developed for the study area. Normalized Ice Coverage values prescribed for the study cells from the digitized coverage are then examined through a statistical framework which suggests that spring precipitation, annual temperatures, and winter precipitation are the strongest predictors of glacier distributions in the Canadian Rockies.</t>
  </si>
  <si>
    <t>Univ Calgary, Dept Geog, Calgary, AB T2N 1N4, Canada</t>
  </si>
  <si>
    <t>University of Calgary</t>
  </si>
  <si>
    <t>Univ Calgary, Dept Geog, 2500 Univ Dr NW, Calgary, AB T2N 1N4, Canada.</t>
  </si>
  <si>
    <t>jmshea@ucalgary.ca</t>
  </si>
  <si>
    <t>Shea, Joseph/JZD-3906-2024</t>
  </si>
  <si>
    <t>Shea, Joseph/0000-0002-4557-1283</t>
  </si>
  <si>
    <t>10.1657/1523-0430(2004)036[0272:GDACIT]2.0.CO;2</t>
  </si>
  <si>
    <t>WOS:000225548300015</t>
  </si>
  <si>
    <t>Constable, AJ</t>
  </si>
  <si>
    <t>Managing fisheries effects on marine food webs in Antarctica: Trade-offs among harvest strategies, monitoring, and assessment in achieving conservation objectives</t>
  </si>
  <si>
    <t>BULLETIN OF MARINE SCIENCE</t>
  </si>
  <si>
    <t>4th International Symposium in Fisheries Ecology</t>
  </si>
  <si>
    <t>NOV 05-07, 2002</t>
  </si>
  <si>
    <t>Mote Marine Lab, Sarasota, FL</t>
  </si>
  <si>
    <t>Mote Marine Lab</t>
  </si>
  <si>
    <t>MULTISPECIES FISHERIES; ECOSYSTEM APPROACH; LIVING RESOURCES; MANAGEMENT; CCAMLR; ENVIRONMENT; PREDATORS; PROGRAM; SEA</t>
  </si>
  <si>
    <t>Harvesting of marine living resources in the Southern Ocean is managed by the Commission for the Conservation of Antarctic Marine Living Resources (CCAMLR), which is widely known for its ecosystem approach to managing fisheries and inclusion of food-web maintenance in the conservation objectives. CCAMLR has developed a precautionary approach to account for predators when setting catch limits for krill, the most important prey species in the Antarctic marine ecosystem. It has also established an ecosystem monitoring program to help detect effects of prey harvesting on predators. CCAMLR's approach is intended to permit both recovery of overexploited species and ecologically sustainable development of fisheries without causing damage to the Antarctic marine ecosystem. The trade-offs are between the harvest strategies (catches) and the ability to obtain sufficient information and knowledge for management of fisheries in a way that achieves the conservation objectives. This paper presents general principles of an ecosystem-based approach to fisheries using the CCAMLR approaches as examples. It discusses the precautionary and ecosystem approaches of CCAMLR, the types of objectives being considered for predators, and the general approaches and monitoring programs that could achieve ecosystem/food web conservation objectives.</t>
  </si>
  <si>
    <t>Constable, AJ (corresponding author), Australian Antarctic Div, Channel Highway, Kingston, Tas 7050, Australia.</t>
  </si>
  <si>
    <t>andrew.constable@aad.gov.au</t>
  </si>
  <si>
    <t>ROSENSTIEL SCH MAR ATMOS SCI</t>
  </si>
  <si>
    <t>MIAMI</t>
  </si>
  <si>
    <t>4600 RICKENBACKER CAUSEWAY, MIAMI, FL 33149 USA</t>
  </si>
  <si>
    <t>0007-4977</t>
  </si>
  <si>
    <t>B MAR SCI</t>
  </si>
  <si>
    <t>Bull. Mar. Sci.</t>
  </si>
  <si>
    <t>845ZG</t>
  </si>
  <si>
    <t>WOS:000223283600008</t>
  </si>
  <si>
    <t>Kasamatsu, N; Kawaguchi, S; Watanabe, S; Odate, T; Fukuchi, M</t>
  </si>
  <si>
    <t>Possible impacts of zooplankton grazing on dimethylsulfide production in the Antarctic Ocean</t>
  </si>
  <si>
    <t>3rd International Symposium on Biological and Environmental Chemistry of DMS(P) and Related Compounds</t>
  </si>
  <si>
    <t>SEP 26-28, 2002</t>
  </si>
  <si>
    <t>Rimouski, CANADA</t>
  </si>
  <si>
    <t>DIMETHYLSULFONIOPROPIONATE DMSP; ATMOSPHERIC SULFUR; SEA; PHYTOPLANKTON; DYNAMICS; SIZE; SALP</t>
  </si>
  <si>
    <t>The role of zooplankton grazing on dimethylsulfide (DMS) and dissolved dimethylsulfoniopropionate (DMSPd) production was investigated in the Antarctic Ocean in January and February 2002. Dominant herbivorous macrozooplankton of this region, the Antarctic krill Euphausia superba and the tunicate Salpa thompsoni, were used in shipboard incubation experiments. The concentration of DMSPd + DMS increased in the water during incubation with krill. The production rate was 2.96 +/- 2.78 nmol DMSPd + DMS.krill(-1.)h(-1) (mean +/- SD). In addition, the DMSPd + DMS production rate was linearly related to the ingestion rate of krill (r(2) = 0.664, p less than or equal to 0.01). Addition of salps to natural surface water, however, did not change the DMSPd + DMS concentrations. During the experiments, both animals fed on phytoplankton cells. The fecal pellets of krill contained broken phytoplankton cells, whereas those of salps contained unbroken cells. These results suggest that sloppy feeding by krill is a more likely mechanism for producing DMS and DMSPd than the direct ingestion of phytoplankton cells by salps. The decrease of DMS concentrations in the upper 200 m of the water column from January to February may be explained, in part, by changes in the composition of the macrozooplankton community.</t>
  </si>
  <si>
    <t>Grad Univ Adv Studies, Itabashi Ku, Tokyo 1738515, Japan; Natl Res Inst Far Seas Fisheries, Shimizu, Shizuoka 4248633, Japan; Japan Marine Sci &amp; Technol Ctr, Yokosuka, Kanagawa 2370061, Japan; Natl Inst Polar Res, Itabashi Ku, Tokyo 1738515, Japan</t>
  </si>
  <si>
    <t>Graduate University for Advanced Studies - Japan; Japan Fisheries Research &amp; Education Agency (FRA); Japan Agency for Marine-Earth Science &amp; Technology (JAMSTEC); Research Organization of Information &amp; Systems (ROIS); National Institute of Polar Research (NIPR) - Japan</t>
  </si>
  <si>
    <t>Grad Univ Adv Studies, Itabashi Ku, 9-10 Kaga 1 Chome, Tokyo 1738515, Japan.</t>
  </si>
  <si>
    <t>kasa@nipr.ac.jp</t>
  </si>
  <si>
    <t>Kawaguchi, So/0000-0002-2042-5095</t>
  </si>
  <si>
    <t>10.1139/F04-072</t>
  </si>
  <si>
    <t>834DB</t>
  </si>
  <si>
    <t>WOS:000222390700007</t>
  </si>
  <si>
    <t>Le Clainche, Y; Levasseur, M; Vézina, A; Dacey, JWH; Saucier, FJ</t>
  </si>
  <si>
    <t>Behaviour of the ocean DMS(P) pools in the Sargasso Sea viewed in a coupled physical-biogeochemical ocean model</t>
  </si>
  <si>
    <t>ATLANTIC TIME-SERIES; ANTARCTIC SOUTHERN-OCEAN; MIXED-LAYER MODEL; DIMETHYL SULFIDE; ATMOSPHERIC SULFUR; NORTH-ATLANTIC; CLOUD ALBEDO; TEMPORAL VARIABILITY; BOUNDARY-LAYER; CLIMATE-CHANGE</t>
  </si>
  <si>
    <t>The dimethylsulfide (DMS) production model NODEM (Northern Oceans DMS Emission Model) was coupled with the water column ocean model GOTM (General Ocean Turbulence Model) that includes a two-equation kepsilon turbulence scheme. This coupled physical-biogeochemical ocean model represents a significant improvement over the previous uncoupled version of NODEM that was driven by a diagnostic vertical mixing scheme. Using the same set of biogeochemical parameters, the coupled model is used to simulate the annual cycles of 1992 and 1993 at Hydrostation S in the Sargasso Sea. The better reproduction of the turbulent mixing environment corrects some deficiencies in nitrogen cycling, especially in the seasonal evolution of the nutrient concentrations. Hence, the coupled model captures the late-winter chlorophyll- and DMS(P)-rich blooms. It is also more adept at reproducing the vertical distribution of chlorophyll and DMS(P) in summer. Moreover, the DMS pool becomes less dependent on parameters controlling the nitrogen cycle and relatively more sensitive to parameters related to the sulfur cycle. Finally, the coupled model reproduces some of the observed differences in DMS(P) pools between 1992 and 1993, the latter being an independent data set not used in calibrating the initial version of NODEM.</t>
  </si>
  <si>
    <t>Univ Laval, Dept Biol, Quebec Ocean, Quebec City, PQ G1K 7P4, Canada; Fisheries &amp; Oceans Canada, Bedford Inst Oceanog, Dartmouth, NS B2Y 4A2, Canada; Woods Hole Oceanog Inst, Dept Biol, Woods Hole, MA 02543 USA; Fisheries &amp; Oceans Canada, Maurice Lamontagne Inst, Mont Joli, PQ G5H 3Z4, Canada</t>
  </si>
  <si>
    <t>Laval University; Bedford Institute of Oceanography; Fisheries &amp; Oceans Canada; Woods Hole Oceanographic Institution; Fisheries &amp; Oceans Canada</t>
  </si>
  <si>
    <t>Le Clainche, Y (corresponding author), Univ Laval, Dept Biol, Quebec Ocean, Pavillon Alexandre Vachon, Quebec City, PQ G1K 7P4, Canada.</t>
  </si>
  <si>
    <t>yvonnick.leclainche@giroq.ulaval.ca</t>
  </si>
  <si>
    <t>Le Clainche, Yvonnick/G-2933-2010</t>
  </si>
  <si>
    <t>10.1139/F04-027</t>
  </si>
  <si>
    <t>WOS:000222390700011</t>
  </si>
  <si>
    <t>Luz, AP; Pellizari, VH; Whyte, LG; Greer, CW</t>
  </si>
  <si>
    <t>A survey of indigenous microbial hydrocarbon degradation genes in soils from Antarctica and Brazil</t>
  </si>
  <si>
    <t>CANADIAN JOURNAL OF MICROBIOLOGY</t>
  </si>
  <si>
    <t>catabolic genes; anthropogenic compounds; petroleum hydrocarbons; alkane monooxygenases; aromatic dioxygenase</t>
  </si>
  <si>
    <t>VALDEZ OIL-SPILL; CATECHOL 2,3-DIOXYGENASE GENE; ALKANE HYDROXYLASE SYSTEMS; POLYMERASE-CHAIN-REACTION; GRAM-POSITIVE STRAINS; NUCLEOTIDE-SEQUENCE; CRUDE-OIL; PSEUDOMONAS-OLEOVORANS; DEGRADING BACTERIA; MOLECULAR ANALYSIS</t>
  </si>
  <si>
    <t>Total community DNA from 29 noncontaminated soils and soils impacted by petroleum hydrocarbons and chloro-organics from Antarctica and Brazil were screened for the presence of nine catabolic genes, encoding alkane monooxygenase or aromatic dioxygenases, from known bacterial biodegradation pathways. Specific primers and probes targeting alkane monooxygenase genes were derived from Pseudomonas putida ATCC 29347 (Pp alkB), Rhodococcus sp. strain Q15 (Rh alkB1, Rh alkB2), and Acinetobacter sp. ADP-1 (Ac alkM). In addition, primers and probes detecting aromatic dioxygenase genes were derived from P. putida ATCC 17484 (ndoB), P. putida F1 (todC1), P. putida ATCC 33015 (xylE and cat23), and P. pseudoalcaligenes KF707 (bphA). The primers and probes were used to analyze total community DNA extracts by using PCR and hybridization analysis. All the catabolic genes, except the Ac alkM, were detected in contaminated and control soils from both geographic regions, with a higher frequency in the Antarctic soils. The alkane monooxygenase genes, Rh alkB1 and Rh alkB2, were the most frequently detected alk genes in both regions, while Pp alkB was not detected in Brazil soils. Genes encoding the aromatic dioxygenases toluene dioxygenase (todC1) and biphenyl dioxygenase (bphA) were the most frequently detected in Antarctica, and todC1 and catechol-2,3-dioxygenase (cat23) were the most frequent in Brazil soils. Hybridization analysis confirmed the PCR results, indicating that the probes used had a high degree of homology to the genes detected in the soil extracts and were effective in detecting biodegradative potential in the indigenous microbial population.</t>
  </si>
  <si>
    <t>Univ Sao Paulo, Dept Microbiol, Inst Biomed Sci, BR-05508900 Sao Paulo, Brazil; Natl Res Council Canada, Biotechnol Res Inst, Montreal, PQ H4P 2R2, Canada; McGill Univ, Dept Nat Resource Sci, Ste Anne De Bellevue, PQ H9X 3V9, Canada</t>
  </si>
  <si>
    <t>Universidade de Sao Paulo; National Research Council Canada; McGill University</t>
  </si>
  <si>
    <t>Luz, AP (corresponding author), Univ Sao Paulo, Dept Microbiol, Inst Biomed Sci, Lineu Prestes Ave, BR-05508900 Sao Paulo, Brazil.</t>
  </si>
  <si>
    <t>apluz@usp.br</t>
  </si>
  <si>
    <t>Pellizari, Vivian/J-9153-2012</t>
  </si>
  <si>
    <t>Pellizari, Vivian/0000-0003-2757-6352</t>
  </si>
  <si>
    <t>0008-4166</t>
  </si>
  <si>
    <t>CAN J MICROBIOL</t>
  </si>
  <si>
    <t>Can. J. Microbiol.</t>
  </si>
  <si>
    <t>10.1139/W04-008</t>
  </si>
  <si>
    <t>Biochemistry &amp; Molecular Biology; Biotechnology &amp; Applied Microbiology; Immunology; Microbiology</t>
  </si>
  <si>
    <t>833PE</t>
  </si>
  <si>
    <t>WOS:000222349500003</t>
  </si>
  <si>
    <t>Oppenheimer, M; Alley, RB</t>
  </si>
  <si>
    <t>The West Antarctic ice sheet and long term climate policy - An editorial comment</t>
  </si>
  <si>
    <t>MASS-BALANCE; BREAK-UP; SHELF; STABILITY; GREENLAND; COLLAPSE; RETREAT; GLACIER; MODEL; CO2</t>
  </si>
  <si>
    <t>Princeton Univ, Woodrow Wilson Sch, Princeton, NJ 08544 USA; Princeton Univ, Dept Geosci, Princeton, NJ 08544 USA; Penn State Univ, Dept Geosci, University Pk, PA 16802 USA; Penn State Univ, Coll Earth &amp; Mineral Sci, Inst Environm, University Pk, PA 16802 USA</t>
  </si>
  <si>
    <t>Princeton University; Princeton University;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</si>
  <si>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Princeton Univ, Woodrow Wilson Sch, 448 Robertson Hall, Princeton, NJ 08544 USA.</t>
  </si>
  <si>
    <t>omichael@princeton.edu; rba6@psu.edu</t>
  </si>
  <si>
    <t>Oppenheimer, Michael/0000-0002-9708-5914</t>
  </si>
  <si>
    <t>10.1023/B:CLIM.0000024792.06802.31</t>
  </si>
  <si>
    <t>813ST</t>
  </si>
  <si>
    <t>WOS:000220927500001</t>
  </si>
  <si>
    <t>Korb, RE; Whitehouse, M</t>
  </si>
  <si>
    <t>Contrasting primary production regimes around South Georgia, Southern Ocean: large blooms versus high nutrient, low chlorophyll waters</t>
  </si>
  <si>
    <t>South Georgia; primary production; phytoplankton blooms; HNLC</t>
  </si>
  <si>
    <t>ANTARCTIC POLAR FRONT; RELEASE EXPERIMENT SOIREE; PHYTOPLANKTON BLOOMS; COMMUNITY STRUCTURE; CIRCUMPOLAR CURRENT; NITRATE UPTAKE; IRON; DYNAMICS; ATLANTIC; NORTH</t>
  </si>
  <si>
    <t>During the austral summer of 2002, a large and persistent phytoplankton bloom was detected with SeaWiFS imagery in the Georgia Basin to the north-west of South Georgia, while waters to the east of the island were relatively unproductive. A British Antarctic Survey research cruise in January 2002 confirmed this west/east difference with production values of up to 2.5 g C m(-2) d(-1) and chlorophyll a (chl a) values up to 15 mg m(-3) at stations to the northwest of the island and 0.17 g C m(-2) d(-1) and 1.3 mg chl a m(-3) to the northeast. These differences were not attributable to light limitation as mixed layer depth never exceeded critical depth. Instead, substantial nutrient depletions to the northwest of the island compared with the northeast suggested a difference in nutrient use between the two regions. The exceedingly high nutrient depletions (to &lt; 6.0 and 0.3 mmol m(-3) for NO3-N and PO4-P, respectively) measured to the northwest were associated with an anticyclonic eddy situated over the Northwest Georgia Rise. Furthermore, differences in NO3-N:PO4-P depletion ratios suggested a greater ability in the northwest phytoplankton to utilise NO3-N, and a greater dependence on NH4-N at the northeast stations. Three distinct station groups were identified around the island based on watermass and size-fractionated chlorophyll. To the east, waters were characterised by a high proportion of microplankton and low NO3-N:PO4-P depletion ratios, to the west, by either a high proportion of microplankton and high NO3-N:PO4-P depletion ratios, or a high proportion of nanoplankton and moderate NO3-N:PO4-P depletion ratios. We consider this to be indicative of greater Fe availability, promoting NO3-N use, to the northwest of South Georgia. However, an absence of microplankton over the western shelf regions may be due to size selective grazing by krill. Our field data, in conjunction with SeaWiFS imagery, indicated that the Georgia Basin phytoplankton most likely originated upstream of South Georgia. Subsequent interactions with the Northwest Georgia Rise and South Georgia's south-western shelf promoted increased growth that converged to the west of the island to form a large bloom in the Georgia Basin. (C) 2004 Elsevier Ltd. All rights reserved.</t>
  </si>
  <si>
    <t>rk@bas.ac.uk</t>
  </si>
  <si>
    <t>10.1016/j.dsr.2004.02.006</t>
  </si>
  <si>
    <t>824PB</t>
  </si>
  <si>
    <t>WOS:000221697400007</t>
  </si>
  <si>
    <t>Van De Vijver, B; Gremmen, N; Beyens, L; Le Cohu, R</t>
  </si>
  <si>
    <t>Piivnularia sofia Van de Vijver &amp; Le Cohu spec., nov., a new spine-bearing, chain-forming Pinnularia species from the sub-Antarctic region</t>
  </si>
  <si>
    <t>DIATOM RESEARCH</t>
  </si>
  <si>
    <t>The spine-bearing diatom Pinnularia sofia Van de Vijver &amp; Le Cohn spec. nov. is described from the sub-Antarctic Heard Island. The morphology of this species was examined using the scanning electron microscopy (SEM). The most striking feature of the new taxon is the presence of three groups of wart-like or spathulate spines that connect adjacent valves to form short chains comprising 2 to 6 individuals. The taxonomical position of the new taxon is discussed, comparing it with similar freshwater Pinnularia taxa present on the same island, such as P. subantarctica (Manguin) Van de Vijver &amp; Le Cohu and its variety elongata (Manguin) Van de Vijver &amp; Le Colu, as well as the elusive P. circumducta Manguin. A short review is made of all spine-bearing and/or colonial Pinnularia taxa described so far. Notes on its ecology are included.</t>
  </si>
  <si>
    <t>Univ Antwerp, Dept Biol, Unit Polar Ecol Limnol &amp; Paleobiol, B-2020 Antwerp, Belgium; Univ Toulouse 3, Lab Ecol Hydrosyst, F-31062 Toulouse, France</t>
  </si>
  <si>
    <t>University of Antwerp; Universite de Toulouse; Universite Toulouse III - Paul Sabatier</t>
  </si>
  <si>
    <t>0269-249X</t>
  </si>
  <si>
    <t>2159-8347</t>
  </si>
  <si>
    <t>DIATOM RES</t>
  </si>
  <si>
    <t>Diatom Res.</t>
  </si>
  <si>
    <t>829LF</t>
  </si>
  <si>
    <t>WOS:000222049200007</t>
  </si>
  <si>
    <t>Schlitt, T; Kemmeren, P</t>
  </si>
  <si>
    <t>From microarray data to results - Workshop on genomic approaches to microarray data analysis</t>
  </si>
  <si>
    <t>EMBO REPORTS</t>
  </si>
  <si>
    <t>data analysis; genomics; microarray; statistics</t>
  </si>
  <si>
    <t>GENE-EXPRESSION DATA; REGULATORY-MODULES; ONTOLOGY; NETWORKS; TOOL</t>
  </si>
  <si>
    <t>EMBL EBI, European Bioinformat Inst, Cambridge CB10 1SD, England; British Antarctic Survey, Cambridge CB3 0ET, England; UMC Utrecht, Div Biomed Genet, Utrecht, Netherlands</t>
  </si>
  <si>
    <t>European Molecular Biology Laboratory (EMBL); UK Research &amp; Innovation (UKRI); Natural Environment Research Council (NERC); NERC British Antarctic Survey; Utrecht University; Utrecht University Medical Center</t>
  </si>
  <si>
    <t>Schlitt, T (corresponding author), EMBL EBI, European Bioinformat Inst, Wellcome Trust Genome Campus, Cambridge CB10 1SD, England.</t>
  </si>
  <si>
    <t>schlitt@ebi.ac.uk</t>
  </si>
  <si>
    <t>Schlitt, Thomas/GWQ-8928-2022; Schlitt, Thomas/F-2123-2010</t>
  </si>
  <si>
    <t>Schlitt, Thomas/0000-0002-0508-3971; Kemmeren, Patrick/0000-0003-2237-7354</t>
  </si>
  <si>
    <t>1469-221X</t>
  </si>
  <si>
    <t>EMBO REP</t>
  </si>
  <si>
    <t>EMBO Rep.</t>
  </si>
  <si>
    <t>10.1038/sj.embor.7400156</t>
  </si>
  <si>
    <t>824EU</t>
  </si>
  <si>
    <t>WOS:000221669500008</t>
  </si>
  <si>
    <t>Hatherly, IS; Bale, JS; Walters, KFA; Worland, MR</t>
  </si>
  <si>
    <t>Thermal biology of Typhlodromips montdorensis:: implications for its introduction as a glasshouse biological control agent in the UK</t>
  </si>
  <si>
    <t>ENTOMOLOGIA EXPERIMENTALIS ET APPLICATA</t>
  </si>
  <si>
    <t>Acari; biocontrol; cold tolerance; diapause; establishment potential; non-native species; overwintering; Phytoseiidae; pre-release requirements</t>
  </si>
  <si>
    <t>PREDATORY MITE; AMBLYSEIUS-CUCUMERIS; BIOCONTROL AGENT; COLD-HARDINESS; SCHICHA ACARI; PHYTOSEIIDAE; TEMPERATURE; CALIFORNICUS; THRIPS; PYRI</t>
  </si>
  <si>
    <t>The recent unexpected local establishment of a non-native predatory mite, Neoseiulus californicus (McGregor) (Acari: Phytoseiidae), in the UK prompted us to undertake this study, which investigated the thermal biology of an alien species Typhlodromips montdorensis (Schicha) (Acari: Phytoseiidae). Laboratory and field experiments on its cold tolerance were used to assess its establishment potential outside of glasshouse environments in the UK. Currently, T. montdorensis is being tested as a glasshouse biological control agent against thrips and spider mites, but is not yet licensed for release in the UK. Typhlodromips montdorensis has a developmental threshold of between 10.3 and 10.7 degreesC, and a thermal budget of between 108.7 and 105.3 degree-days when estimated by weighted and simple linear regression, respectively. Under outdoor conditions, T. montdorensis could theoretically complete up to six generations a year. The supercooling points of female and larval T. montdorensis were -22 to -24 degreesC with 100% pre-freeze mortality apparent in both acute and chronic low temperature exposures. Typhlodromips montdorensis were unable to enter diapause under a selected laboratory regime. No reproduction occurred in the field from November to March, with 100% mortality within 7-14 days of release during this period. It is concluded that T. montdorensis would be a 'safe candidate' for introduction as a glasshouse biological control agent in the UK.</t>
  </si>
  <si>
    <t>Univ Birmingham, Sch Biosci, Birmingham B15 2TT, W Midlands, England; British Antarctic Survey, Cambridge CB3 0ET, England; Cent Sci Lab, York, N Yorkshire, England</t>
  </si>
  <si>
    <t>University of Birmingham; UK Research &amp; Innovation (UKRI); Natural Environment Research Council (NERC); NERC British Antarctic Survey; Food &amp; Environment Research Agency</t>
  </si>
  <si>
    <t>ish714@bham.ac.uk</t>
  </si>
  <si>
    <t>Walters, Keith/AAK-3562-2020</t>
  </si>
  <si>
    <t>0013-8703</t>
  </si>
  <si>
    <t>1570-7458</t>
  </si>
  <si>
    <t>ENTOMOL EXP APPL</t>
  </si>
  <si>
    <t>Entomol. Exp. Appl.</t>
  </si>
  <si>
    <t>10.1111/j.0013-8703.2004.00148.x</t>
  </si>
  <si>
    <t>814YY</t>
  </si>
  <si>
    <t>WOS:000221011200002</t>
  </si>
  <si>
    <t>Atlis, MM; Leon, GR; Sandal, GM; Infante, MG</t>
  </si>
  <si>
    <t>Decision processes and interactions during a two-woman traverse of Antarctica</t>
  </si>
  <si>
    <t>ENVIRONMENT AND BEHAVIOR</t>
  </si>
  <si>
    <t>International Thermal Physiology Symposium</t>
  </si>
  <si>
    <t>SEP 02-06, 2001</t>
  </si>
  <si>
    <t>WOLLONGONG, AUSTRALIA</t>
  </si>
  <si>
    <t>women; expeditions; space analog; Antarctic</t>
  </si>
  <si>
    <t>EXPEDITION; PERSONALITY; VALIDATION</t>
  </si>
  <si>
    <t>This investigation assessed an international two-woman team engaged in a 97-day traverse of Antarctica. Measures consisted of preexpedition personality assessments; expedition weekly ratings of individual and team status and work performance; postexpedition semistructured interview. Both participants scored relatively highest on the Multidimensional Personality Questionnaire (MPQ) Absorption scale, the Personality Characteristics Inventory (PCI) Work and Positive Expressivity scales and lowest on the PCI Verbal Aggressiveness scale. One member reported sensed presence experiences, which served as an important motivating factor when fatigued or disappointed about daily progress. Enjoyment and awe of the environment were significant aspects of the daily trek and sources of psychological strength. Advantages of the co-equal dyad were evident in the cooperative nature of decision making and substantial similarities in approach to solving problems. Differences from the usual military command structure in decision-making processes and implications for planetary expeditions are discussed.</t>
  </si>
  <si>
    <t>Univ Minnesota, Dept Psychol, Clin Sci &amp; Psychopathol Res Training Program, Minneapolis, MN 55455 USA; Univ Bergen, Dept Psychosocial Sci, N-5020 Bergen, Norway</t>
  </si>
  <si>
    <t>University of Minnesota System; University of Minnesota Twin Cities; University of Bergen</t>
  </si>
  <si>
    <t>Univ Minnesota, Dept Psychol, Clin Sci &amp; Psychopathol Res Training Program, 75 E River Rd, Minneapolis, MN 55455 USA.</t>
  </si>
  <si>
    <t>leonx003@umn.edu</t>
  </si>
  <si>
    <t>Sandal, Gro Mjeldheim/0000-0001-9017-9654</t>
  </si>
  <si>
    <t>SAGE PUBLICATIONS INC</t>
  </si>
  <si>
    <t>THOUSAND OAKS</t>
  </si>
  <si>
    <t>2455 TELLER RD, THOUSAND OAKS, CA 91320 USA</t>
  </si>
  <si>
    <t>0013-9165</t>
  </si>
  <si>
    <t>1552-390X</t>
  </si>
  <si>
    <t>ENVIRON BEHAV</t>
  </si>
  <si>
    <t>Environ. Behav.</t>
  </si>
  <si>
    <t>10.1177/0013916503262217</t>
  </si>
  <si>
    <t>Environmental Studies; Psychology, Multidisciplinary</t>
  </si>
  <si>
    <t>Social Science Citation Index (SSCI); Conference Proceedings Citation Index - Social Science &amp; Humanities (CPCI-SSH)</t>
  </si>
  <si>
    <t>Environmental Sciences &amp; Ecology; Psychology</t>
  </si>
  <si>
    <t>811HW</t>
  </si>
  <si>
    <t>WOS:000220764000005</t>
  </si>
  <si>
    <t>Arkhipkin, AI; Middleton, DAJ; Sirota, AM; Grzebielec, R</t>
  </si>
  <si>
    <t>The effect of Falkland Current inflows on offshore ontogenetic migrations of the squid Loligo gahi on the southern shelf of the Falkland Islands</t>
  </si>
  <si>
    <t>ESTUARINE COASTAL AND SHELF SCIENCE</t>
  </si>
  <si>
    <t>Annual Conference of the International-Commission-for-Exploration-of-Seas (ICES)</t>
  </si>
  <si>
    <t>SEP, 2002</t>
  </si>
  <si>
    <t>Copenhagen, DENMARK</t>
  </si>
  <si>
    <t>squid; Loligo gahi; Falkland Current; migrations</t>
  </si>
  <si>
    <t>SOUTHWESTERN ATLANTIC; ADDITIVE-MODELS; BERING SEA; ABUNDANCE; PATTERNS; SPLINES; FORBESI; GROWTH; WATERS</t>
  </si>
  <si>
    <t>Variations in oceanographic conditions and the distribution of the Patagonian longfin squid Loligo gahi were studied on the southern part of the Falkland Shelf (Southwest Atlantic) during four consecutive austral summers in the period 2000-2003. The flow of the Falkland Current onto the shelf varied from year to year, both in strength;and scale, causing significant variability in the location and resolution of the Transient Zone (a mixing of the Sub-Antarctic superficial waters, which represent the upper layer of the Falkland Current, with shelf waters). Generalised additive models (GAMS) of commercial CPUE data in terms of temperature and, in particular salinity, demonstrated the association of L. gahi with the upper part of the Transient Zone (best identified by salinity in the range 33.9-33.95). Stronger flows of the Falkland Current onto the western part of the southern Falkland Shelf induced stronger outflows of warmer and less saline shelf waters to the Beauchene Island area, and correspondingly greater offshore movements of squid. Thus, near-bottom salinity on the shelf (which is the best indicator of the position of the Transient Zone) may be a useful predictor of the extents of the distribution of L. gahi aggregations on their feeding grounds. (C) 2004 Elsevier Ltd. All rights reserved.</t>
  </si>
  <si>
    <t>Falkland Isl Govt, Dept Fisheries, Stanley, Falkland Isl, England; Atlantic Res Inst Marine Fisheries &amp; Oceanog, AtlantNIRO, Kaliningrad 236000, Russia</t>
  </si>
  <si>
    <t>Research lnstitute of Fisheries &amp; Oceanography</t>
  </si>
  <si>
    <t>Arkhipkin, AI (corresponding author), Falkland Isl Govt, Dept Fisheries, POB 598, Stanley, Falkland Isl, England.</t>
  </si>
  <si>
    <t>aarkhipkin@fisheries.gov.fk</t>
  </si>
  <si>
    <t>0272-7714</t>
  </si>
  <si>
    <t>ESTUAR COAST SHELF S</t>
  </si>
  <si>
    <t>Estuar. Coast. Shelf Sci.</t>
  </si>
  <si>
    <t>10.1016/j.ecss.2003.11.016</t>
  </si>
  <si>
    <t>820LR</t>
  </si>
  <si>
    <t>WOS:000221391100002</t>
  </si>
  <si>
    <t>The oxidation process of Antarctic fish hemoglobins</t>
  </si>
  <si>
    <t>Antarctic fish; hemichrome; hemoglobin; hexacoordination; oxidation</t>
  </si>
  <si>
    <t>HEME-HEME INTERACTION; AMINO-ACID-SEQUENCE; CRYSTAL-STRUCTURE; PAGOTHENIA-BERNACCHII; TREMATOMUS-NEWNESI; CARBON-MONOXIDE; LIGAND-BINDING; METHEMOGLOBIN; STATE; METMYOGLOBIN</t>
  </si>
  <si>
    <t>Analysis of the molecular properties of proteins extracted from organisms living under extreme conditions often highlights peculiar features. We investigated by UV-visible spectroscopy and X-ray crystallography the oxidation process, promoted by air or ferricyanide, of five hemoglobins extracted from Antarctic fishes (Notothenioidei). Spectroscopic analysis revealed that these hemoglobins share a common oxidation pathway, which shows striking differences from the oxidation processes of hemoglobins from other vertebrates. Indeed, simple exposure of these hemoglobins to air leads to the formation of a significant amount of the low-spin hexacoordinated form, denoted hemichrome. This hemichrome form, which is detected under a variety of experimental conditions, can be reversibly transformed to either carbomonoxy or deoxygenated forms with reducing agents. Interestingly, the spectra of the fully oxidized species, obtained by treating the protein with ferricyanide, show the simultaneous presence of peaks corresponding to different hexacoordinated states, the aquomet and the hemichrome. In order to assign the heme region state of the alpha and beta chains, the air-oxidized and ferricyanide-oxidized forms of Trematomus bernacchii hemoglobin were crystallized. Crystallographic analysis revealed that these forms correspond to an alpha(aquomet)-beta(bishistidyl-hemichrome) state. This demonstrates that the alpha and beta chains of Antarctic fish hemoglobins follow very different oxidation pathways. As found for Trematomus newnesi hemoglobin in a partial hemichrome state [Riccio, A., Vitagliano, L., di Prisco, G., Zagari, A. &amp; Mazzarella, L. (2002) Proc. Natl Acad. Sci. USA99, 9801-9806], the quaternary structures of these alpha(aquomet)-beta(bishistidyl-hemichrome) forms are intermediate between the physiological R and T hemoglobin states. Together, these structures provide information on the general features of this intermediate state.</t>
  </si>
  <si>
    <t>Univ Naples Federico II, Complesso Univ MS Angelo, Dipartimento Chim, I-80126 Naples, Italy; CNR, Ist Biostrutture &amp; Bioimmagini, I-80125 Naples, Italy; CNR, Ist Biochim Prot, I-80125 Naples, Italy; Univ Florence, Dipartimento Chim, Sesto Fiorentino, Italy</t>
  </si>
  <si>
    <t>University of Naples Federico II; Consiglio Nazionale delle Ricerche (CNR); Istituto di Biostrutture e Bioimmagini (IBB-CNR); Consiglio Nazionale delle Ricerche (CNR); Istituto di Biochimica delle Proteine (IBP-CNR); University of Florence</t>
  </si>
  <si>
    <t>Univ Naples Federico II, Complesso Univ MS Angelo, Dipartimento Chim, Via Cinthia, I-80126 Naples, Italy.</t>
  </si>
  <si>
    <t>mazzarella@chemistry.unina.it</t>
  </si>
  <si>
    <t>Smulevich, Giulietta/0000-0003-3021-8919</t>
  </si>
  <si>
    <t>10.1111/j.1432-1033.2004.04054.x</t>
  </si>
  <si>
    <t>813CV</t>
  </si>
  <si>
    <t>WOS:000220886100008</t>
  </si>
  <si>
    <t>Van Oijen, T; Van Leeuwe, MA; Gieskes, WWC; De Baar, HJW</t>
  </si>
  <si>
    <t>Effects of iron limitation on photosynthesis and carbohydrate metabolism in the Antarctic diatom Chaetoceros brevis (Bacillariophyceae)</t>
  </si>
  <si>
    <t>EUROPEAN JOURNAL OF PHYCOLOGY</t>
  </si>
  <si>
    <t>carbohydrates; diatoms; iron; photosynthesis; phytoplankton; pigments; Southern Ocean</t>
  </si>
  <si>
    <t>PHAEODACTYLUM-TRICORNUTUM BACILLARIOPHYCEAE; THALASSIOSIRA-WEISSFLOGII BACILLARIOPHYCEAE; PHAEOCYSTIS SP. PRYMNESIOPHYCEAE; COSTATUM GREV CLEVE; MARINE DIATOM; SKELETONEMA-COSTATUM; SOUTHERN-OCEAN; BIOCHEMICAL-COMPOSITION; DUNALIELLA-TERTIOLECTA; PRIMARY PRODUCTIVITY</t>
  </si>
  <si>
    <t>Iron, one of the structural elements of organic components that play an essential role in photosynthesis and nitrogen assimilation of plants, is available at extremely low concentrations in large parts of the Southern Ocean's surface waters. We tested the hypothesis that photosynthesis is the primary target of iron stress in phytoplankton living in this specific environment, resulting in a reduced carbohydrate production. Cultures of a small Antarctic diatom, Chaetoceros brevis, were exposed to two different photon irradiances under iron-rich and iron-poor conditions. Under both light regimes growth rate was reduced only slightly by iron starvation, as expected because the iron requirement of a small-celled species such as C. brevis is low. Even so, iron-starved cells differed markedly from iron-replete cells: for low and high irradiance, respectively, they had a 20 and 27% lower content of light-harvesting pigments (chlorophyll a and c(2) and fucoxanthin), a 8 and 15% decrease in light absorption and a 15 and 17% decrease in quantum yield of photosystem II. The diurnal production of water-extractable carbohydrates was reduced by 28 and 31%, which resulted in a low supply of energy and carbon skeletons from these storage products. This may well have influenced protein synthesis. The nocturnal consumption of carbohydrates was also reduced, which, together with the almost proportional decrease in cellular C and N content, suggests that the C and N metabolism were tightly tuned in iron-stressed cultures. The decrease in C and N content correlated with a decrease in cell volume. Our results indicate that iron limitation is likely to affect the ability of phytoplankton to maintain high rates of protein synthesis within the deep wind-mixed layer of the Southern Ocean. In addition, growth at the surface could be inhibited by too much light: iron-poor cultures of C. brevis grown at low irradiance showed enhanced sensitivity to photoinhibition.</t>
  </si>
  <si>
    <t>Univ Groningen, Dept Marine Biol, CEES, NL-9700 AA Haren, Netherlands; Royal Netherlands Inst Sea Res, NL-1790 AB Den Burg, Netherlands</t>
  </si>
  <si>
    <t>University of Groningen; Utrecht University; Royal Netherlands Institute for Sea Research (NIOZ)</t>
  </si>
  <si>
    <t>Univ Groningen, Dept Marine Biol, CEES, POB 14, NL-9700 AA Haren, Netherlands.</t>
  </si>
  <si>
    <t>0967-0262</t>
  </si>
  <si>
    <t>1469-4433</t>
  </si>
  <si>
    <t>EUR J PHYCOL</t>
  </si>
  <si>
    <t>Eur. J. Phycol.</t>
  </si>
  <si>
    <t>10.1080/0967026042000202127</t>
  </si>
  <si>
    <t>825MN</t>
  </si>
  <si>
    <t>WOS:000221762700006</t>
  </si>
  <si>
    <t>O'Brien, A; Sharp, R; Russell, NJ; Roller, S</t>
  </si>
  <si>
    <t>Antarctic bacteria inhibit growth of food-borne microorganisms at low temperatures</t>
  </si>
  <si>
    <t>Antarctica; psychrotrophic; food-borne; bacterial growth inhibition; bacterial diversity</t>
  </si>
  <si>
    <t>LACTIC-ACID BACTERIA; NATURAL MINERAL WATERS; FATTY-ACID; SP-NOV; PSEUDOMONAS; DIVERSITY; ANTIMICROBIALS; COMMUNITY; PROPOSAL</t>
  </si>
  <si>
    <t>The aim of this study was to identify Antarctic microorganisms with the ability to produce cold-active antimicrobial compounds with potential for use in chilled food preservation. Colonies (4496) were isolated from 12 Antarctic soil samples and tested against Listeria innocua, Pseudomonas fragi and Brochothrix thermosphacta. Thirteen bacteria were confirmed as being growth-inhibitor producers (detection rate 0.29%). When tested against a wider spectrum of eight target organisms, some of the isolates also inhibited the growth of L. monocytogenes and Staphylococcus aureus. Six inhibitor producers were psychrotrophic (growth optima between 18 and 24 degreesC), halotolerant (up to 10% NaCl) and catalase-positive; all but one were Gram-positive and oxidase-positive. The inhibitors produced by four bacteria were sensitive to proteases, suggesting a proteinaceous nature. Four of the inhibitor-producers were shown to be species of Arthrobacter, Planococcus and Pseudomonas on the basis of their 16S rRNA gene sequences and fatty acid compositions. It was concluded that Antarctic soils represent an untapped reservoir of novel, cold-active antimicrobial-producers. (C) 2004 Federation of European Microbiological Societies. Published by Elsevier B.V. All rights reserved.</t>
  </si>
  <si>
    <t>Thames Valley Univ, Fac Hlth &amp; Human Sci, Microbiol Res Grp, London W5 2BS, England; Univ London Imperial Coll Sci Technol &amp; Med, Dept Agr Sci, Ashford TN25 5AH, Kent, England</t>
  </si>
  <si>
    <t>University of West London; Imperial College London</t>
  </si>
  <si>
    <t>Thames Valley Univ, Fac Hlth &amp; Human Sci, Microbiol Res Grp, 32-38 Uxbridge Rd Ealing, London W5 2BS, England.</t>
  </si>
  <si>
    <t>sibel.roller@tvu.ac.uk</t>
  </si>
  <si>
    <t>MAY 1</t>
  </si>
  <si>
    <t>10.1016/j.femsec.2004.01.001</t>
  </si>
  <si>
    <t>821DU</t>
  </si>
  <si>
    <t>WOS:000221441000005</t>
  </si>
  <si>
    <t>Khan, AA; Hossain, A; Hara, K; Osatomi, K; Ishihara, T; Osako, K; Nozaki, Y</t>
  </si>
  <si>
    <t>Concentration dependent effect of enzymatic fish protein hydrolysate on the state of water and denaturation of lizard fish (Saurida wanieso) Myofibrils during dehydration</t>
  </si>
  <si>
    <t>FOOD SCIENCE AND TECHNOLOGY RESEARCH</t>
  </si>
  <si>
    <t>fish protein hydrolysate; water activity; Ca-ATPase activity; unfrozen water; lizard fish myofibrils; dehydration</t>
  </si>
  <si>
    <t>ANTARCTIC KRILL; AMINO-ACIDS; ADSORPTION; ATPASE; MUSCLE</t>
  </si>
  <si>
    <t>To utilize fishery waste products as functional food material, the fish protein hydrolysate (FPH) was prepared from fish scraps of three marine species by protease treatment. The added-concentration dependent effects of FPH (2.5-12.5%, dry weight/wet weight) on the state of water and denaturation of lizard fish myofibrils were evaluated by desorption isotherm curves, myofibrillar Ca-ATPase activity, and unfrozen water which was determined by differential scanning calorimetry during dehydration. The water activity (A(w)) in myofibrils was distinctly decreased with the increasing concentration of FPH from 2.5% up to 10.0%, although the A(w) added with 12.5% of FPH was almost equal to that with 10.0% of FPH. The amount of unfrozen water in myofibrils during dehydration was increased by the addition of FPH, and the greatest increase was found at 5.0-10.0%. The FPH suppressed the inactivation of myofibrillar Ca-ATPase activity during dehydration, and a larger effect of suppression was observed at 7.5% addition of FPH. These findings suggest that peptides produced in FPH functioned to stabilize the hydrate water surrounding the myofibrils and suppressed their dehydration-induced denaturation.</t>
  </si>
  <si>
    <t>Nagasaki Univ, Fac Fisheries, Nagasaki 8528521, Japan; Nagasaki Univ, Grad Sch Sci &amp; Technol, Nagasaki 8528521, Japan; Nagasaki Prefectural Inst Fisheries, Nagasaki 8512213, Japan</t>
  </si>
  <si>
    <t>Nagasaki University; Nagasaki University</t>
  </si>
  <si>
    <t>Nagasaki Univ, Fac Fisheries, Bunkyo Machi 1-14, Nagasaki 8528521, Japan.</t>
  </si>
  <si>
    <t>nozaki-y@net.nagasaki-u.ac.jp</t>
  </si>
  <si>
    <t>OSAKO, Kazufumi/O-1978-2014</t>
  </si>
  <si>
    <t>KARGER</t>
  </si>
  <si>
    <t>BASEL</t>
  </si>
  <si>
    <t>ALLSCHWILERSTRASSE 10, CH-4009 BASEL, SWITZERLAND</t>
  </si>
  <si>
    <t>1344-6606</t>
  </si>
  <si>
    <t>FOOD SCI TECHNOL RES</t>
  </si>
  <si>
    <t>Food Sci. Technol. Res.</t>
  </si>
  <si>
    <t>10.3136/fstr.10.132</t>
  </si>
  <si>
    <t>Food Science &amp; Technology</t>
  </si>
  <si>
    <t>858MO</t>
  </si>
  <si>
    <t>WOS:000224196100006</t>
  </si>
  <si>
    <t>Curtis, ML; Millar, IL; Storey, BC; Fanning, M</t>
  </si>
  <si>
    <t>Structural and geochronological constraints of early Ross orogenic deformation in the Pensacola Mountains, Antarctica</t>
  </si>
  <si>
    <t>Transantarctic Mountains; transpression; polyphase deformation; granite; Antarctica</t>
  </si>
  <si>
    <t>CENTRAL TRANSANTARCTIC MOUNTAINS; NORTHERN VICTORIA LAND; U-PB AGES; CLEAVAGE DEVELOPMENT; BEARDMORE GROUP; GLACIER AREA; MARGIN; GONDWANA; ZONE; EXHUMATION</t>
  </si>
  <si>
    <t>During end-Neoproterozoic to early Paleozoic time, the southern margin of Gondwana was affected by widespread subduction-related orogenesis. In East Antarctica this event is known as the Ross orogeny, whose manifestation is exposed along the 3500 km length of the Transantarctic Mountains. In the Pensacola Mountains, the Ross orogeny is characterized by two contractional deformation events, which bracket a brief period of latest Middle Cambrian to early Late Cambrian extension and sedimentation. The oldest and most intense of these deformation events effected a succession of latest Neoproterozoic metagraywackes (Hannah Ridge Formation), producing tight to isoclinal F-1 folds that possess a slaty axial-planar cleavage. Steeply plunging asymmetric F-2 folds and their associated cleavage are superimposed upon the NNE-SSW D-1 structural grain, forming a consistent clockwise oblique angle. Together with several shear-sense indicators, the angular relationship of D-2 and D-1 suggests that the F-2 folds formed as a result of sinistral reactivation of D-1 structures. At Serpan Peak, new meso- and microstructural observations of the Serpan Peak granite suite reveal two phases of emplacement: an early granodioritic phase emplaced prior to the regional D-1 deformation event, and a later phase of syntectonic biotite granites emplaced during D-2. New U-Pb SHRIMP ages for three phases of the Serpan Peak granite suite constrain their emplacement-and, by structural relationship, the early Ross D-1 and D-2 deformation events-as having occurred at 505 +/- 5 Ma. The ages of D-1 and D-2 are identical within error, and we interpret them as being the product of a single progressive sinistral transpressional deformation event. Our new structural and geo-chronological constraints necessitate that deformation of the Hannah Ridge Formation occurred in conjunction with exhumation from lower greenschist conditions prior to deposition of the upper Middle Cambrian Nelson Limestone (&lt; 10 m.y.). Exhumation was closely followed by ca. 500 Ma bimodal volcanism inferred to represent an extensional continental backarc setting. During the latest Cambrian-Early Ordovician, a second, less intense contractional deformation event deformed and inverted the backarc region. Our new data reveal that, along the Pensacola Mountains sector of East Antarctica, the Ross orogeny was manifested as a condensed sequence of rapidly changing tectonic events along a continuously subducting margin, characterized by switches in deformation mode within the continental margin. We interpret such tectonic switching to be the result of the intermittent arrival of buoyant oceanic plateaus at the Ross subduction zone, resulting in short-lived periods of flat-slab subduction and contractional deformation that punctuated the neutral or extensional strain regime generally associated with normal subduction. Given the limited length of plate margin likely to be affected by oceanic plateau subduction, specific correlation of stratigraphic and tectonic events along the entire length of the Ross orogen are unlikely. Nonetheless, similar patterns of punctuated tectonic events associated with sinistral transpressional deformation during the Ross orogeny are observed elsewhere along the orogen.</t>
  </si>
  <si>
    <t>British Antarctic Survey, Cambridge CB3 0ET, England; NERC, Isotope Geosci Lab, British Antarctic Survey, Keyworth NG12 5GG, Notts, England; Australian Natl Univ, Res Sch Earth Sci, PRISE, Canberra, ACT ACT 0201, Australia</t>
  </si>
  <si>
    <t>UK Research &amp; Innovation (UKRI); Natural Environment Research Council (NERC); NERC British Antarctic Survey; UK Research &amp; Innovation (UKRI); Natural Environment Research Council (NERC); NERC British Antarctic Survey; NERC British Geological Survey; Australian National University</t>
  </si>
  <si>
    <t>m.curtis@bas.ac.uk</t>
  </si>
  <si>
    <t>Millar, Ian L/F-1541-2010; Curtis, Mike/HKV-6176-2023; Fanning, Christopher Mark/I-6449-2016</t>
  </si>
  <si>
    <t>Fanning, Christopher Mark/0000-0003-3331-3145</t>
  </si>
  <si>
    <t>MAY-JUN</t>
  </si>
  <si>
    <t>10.1130/B25170.1</t>
  </si>
  <si>
    <t>815MH</t>
  </si>
  <si>
    <t>WOS:000221045900008</t>
  </si>
  <si>
    <t>Vovk, VY; Egorova, LV</t>
  </si>
  <si>
    <t>Relation between the southern atmospheric circulation and space weather</t>
  </si>
  <si>
    <t>TEMPERATURE; OSCILLATION; PRESSURE; ANOMALIES</t>
  </si>
  <si>
    <t>Global temperature anomalies of the southern atmospheric circulation (both positive anomalies responsible for the El Nino warm oceanic current and negative anomalies that cause the La Nina cold current) are strongly controlled by solar activity. The monthly indices of the southern atmospheric circulation (SOI) from 1956 to 1997 and the corresponding Forbush decreases (FDs) in CRs and Wolf numbers (M for the same period have been considered. It has been indicated that a decrease in SOI (less than -15) follows a minimum of GCR FD (less than 5.5%) during southern polar winter and spring (June-November). During warm years of the southern atmospheric circulation (El Nino), the correlation between the SOI indices and the GCR level is significant, and its coefficient (r) is equal to 0.6-0.9. In the warm intervals within the period from 1960 to 1997, the temperature in Antarctica becomes 0.5degrees lower than the average annual temperature during the same period, and the average annual SOI decreases from +2 to -8. This corresponds to the concept that the cosmic factors affect the Antarctic temperature and wind. A hypothesis that anomalous winds from the Antarctic continent force out warm air toward the equator in the years with El Nino has also been corroborated.</t>
  </si>
  <si>
    <t>Russian Acad Sci, Arctic &amp; Antarctic Res Inst, St Petersburg 199397, Russia</t>
  </si>
  <si>
    <t>Russian Academy of Sciences; Arctic &amp; Antarctic Research Institute</t>
  </si>
  <si>
    <t>Vovk, VY (corresponding author), Russian Acad Sci, Arctic &amp; Antarctic Res Inst, Ul Beringa 38, St Petersburg 199397, Russia.</t>
  </si>
  <si>
    <t>833MO</t>
  </si>
  <si>
    <t>WOS:000222341700016</t>
  </si>
  <si>
    <t>Bogdanov, NA</t>
  </si>
  <si>
    <t>Tectonics of the Arctic Ocean</t>
  </si>
  <si>
    <t>GEOTECTONICS</t>
  </si>
  <si>
    <t>LOMONOSOV RIDGE</t>
  </si>
  <si>
    <t>The Arctic Ocean occupies a particular position on our planet. In contrast to the Southern Hemisphere of the Earth, where the Antarctic continent rises up to 3000 m above the sea level at its highest latitudes, the symmetrical North Pole area is occupied by an oceanic basin as deep as approximately 3000 m. The same contrast is notable for the tectonic evolution of the Earth. It is assumed that during the last 150 Ma the Antarctic continent was stable, remaining in practically the same geographic position, while the present-day structure of the Arctic Region was formed precisely during this time interval. The recent data on the bathymetry of the Arctic Ocean, its extended shelf included, allowed the specifying of the boundaries of the main bottom tectonic units (Fig. 1). In the central part of the ocean they include (from west to east): the Eurasia Basin with the median Gakkel Ridge, Lomonosov Ridge, Makarov Basin, Alpha-Mendeleev Ridge, and Canada Basin. Taking into consideration the age and structure of the basement, the Eurasian shelf of the Arctic Ocean can be subdivided (from west to east) into the Barents (Svalbard), Kara Sea, Laptev Sea, and East Siberian-Chukchi segments [23, 67]. The latter area includes the western part of the Beaufort Sea shelf. A narrow shelf extends from the Mackenzie River mouth along the Canadian Arctic Islands and northern Greenland. Only the eastern segment of the Eurasian Arctic, Canadian, and Alaskan shelves are coeval to the neighboring Canada deep-water basin. To the west, the shelf structures were formed long before the morphological elements that appeared in the central oceanic areas.</t>
  </si>
  <si>
    <t>Russian Acad Sci, Inst Lithosphere Marginal Seas, Moscow 119180, Russia</t>
  </si>
  <si>
    <t>Geological Institute, Russian Academy of Sciences; Russian Academy of Sciences</t>
  </si>
  <si>
    <t>Russian Acad Sci, Inst Lithosphere Marginal Seas, Staromonetnyi 22, Moscow 119180, Russia.</t>
  </si>
  <si>
    <t>PLEIADES PUBLISHING INC</t>
  </si>
  <si>
    <t>PLEIADES PUBLISHING INC, MOSCOW, 00000, RUSSIA</t>
  </si>
  <si>
    <t>0016-8521</t>
  </si>
  <si>
    <t>1556-1976</t>
  </si>
  <si>
    <t>GEOTECTONICS+</t>
  </si>
  <si>
    <t>Geotectonics</t>
  </si>
  <si>
    <t>829SP</t>
  </si>
  <si>
    <t>WOS:000222070300002</t>
  </si>
  <si>
    <t>Van der Putten, N; Stieperaere, H; Verbruggen, C; Ochyra, R</t>
  </si>
  <si>
    <t>Holocene palaeoecology and climate history of South Georgia (sub-Antarctica) based on a macrofossil record of bryophytes and seeds</t>
  </si>
  <si>
    <t>HOLOCENE</t>
  </si>
  <si>
    <t>palaeoecology; macrofossils; bryophytes; seeds; fruits; palaeoclimate; South Georgia; sub-Antarctica; Holocene</t>
  </si>
  <si>
    <t>ISLAND; BP; OCEAN; PEAT</t>
  </si>
  <si>
    <t>The results are presented of a detailed plant macrofossil analysis of a C-14 dated Holocene organic sequence from a sub-Antarctic island, South Georgia. In the peat infilling of a rock basin 31 bryophyte species and many of the principal species of the present-day angiosperm flora, associated with bog communities, have been identified. The zonation of the bryophytes and the seeds and fruits shows a striking correspondence with the sediment stratigraphy, and indicates five ecological phases. The first four reflect a succession from a minerotrophic shallow pool to an ombrotrophic Warnstorfia-Polytrichum bog. After the deposition of a greyish-brown layer, c. 2200 C-14 years BP, a wet Deschampsia-Warnstofia-Sanionia-Rostkovia bog came into existence, which is still present today. The ecological phases are radiocarbon dated. They can be interpreted in terms of climate development during the Holocene. Climate ameliorated rapidly at about 10 000 C-14 years BP followed by a drier period. Around 7000 C-14 years BP the climate became wetter and the following c. 2500 years probably represent the climatic optimum. Between 4500 and 2600 C-14 years BP, drier conditions prevailed at the study site. The most striking change occurred at 2600 C-14 years BP when a marked change in vegetation and ecology indicates much wetter conditions.</t>
  </si>
  <si>
    <t>State Univ Ghent, Dept Geog, Lab Palaeoecol &amp; Landscape Genesis, B-9000 Ghent, Belgium; Natl Bot Garden Belgium, B-1860 Meise, Belgium; Polish Acad Sci, Inst Bot, Lab Bryol, PL-31512 Krakow, Poland</t>
  </si>
  <si>
    <t>Ghent University; Polish Academy of Sciences</t>
  </si>
  <si>
    <t>Van der Putten, N (corresponding author), State Univ Ghent, Dept Geog, Lab Palaeoecol &amp; Landscape Genesis, Krijgslaan 281,S8-B2, B-9000 Ghent, Belgium.</t>
  </si>
  <si>
    <t>nathalie.vanderputten@rug.ac.bc</t>
  </si>
  <si>
    <t>Stieperaere, Herman/0000-0003-3432-2924; Ochyra, Ryszard/0000-0002-2541-0722; Van der Putten, Nathalie/0000-0002-0271-9321</t>
  </si>
  <si>
    <t>ARNOLD, HODDER HEADLINE PLC</t>
  </si>
  <si>
    <t>338 EUSTON ROAD, LONDON NW1 3BH, ENGLAND</t>
  </si>
  <si>
    <t>0959-6836</t>
  </si>
  <si>
    <t>Holocene</t>
  </si>
  <si>
    <t>10.1191/0959683604hl714rp</t>
  </si>
  <si>
    <t>822FT</t>
  </si>
  <si>
    <t>WOS:000221524900006</t>
  </si>
  <si>
    <t>Gambaro, A; Moret, I; Piazza, R; Andreoli, C; Da Rin, E; Capodaglio, G; Barbante, C; Cescon, P</t>
  </si>
  <si>
    <t>Temporal evolution of DMS and DMSP in Antarctic coastal sea water</t>
  </si>
  <si>
    <t>INTERNATIONAL JOURNAL OF ENVIRONMENTAL ANALYTICAL CHEMISTRY</t>
  </si>
  <si>
    <t>dimethylsulphide; dimethylsulphoniopropionate; chlorophyll a; sea ice; Gerlache Inlet; Antarctica</t>
  </si>
  <si>
    <t>DIMETHYL SULFIDE; ROSS SEA; PHYTOPLANKTON BIOMASS; SEASONAL-VARIATIONS; ATMOSPHERIC SULFUR; SPATIAL-PATTERNS; SURFACE-WATER; ICE; DIMETHYLSULFONIOPROPIONATE; DIMETHYLSULPHONIOPROPIONATE</t>
  </si>
  <si>
    <t>The temporal evolution of concentrations of dimethylsulphide (DMS), its precursor dimethylsulphoniopropionate (DMSP) and chlorophyll a is surveyed weekly in the water column and in a landfast ice core at a coastal station of Gerlache Inlet (Terra Nova Bay, Antarctica) from 27 November 2000 to 14 February 2001. The DMS and DMSP profile concentrations in the water column are similar and show a clear temporal trend, with minimum values (&lt; 0.7 nM) at all depths occurring on 27 November 2000 and maximum values (4.8 x 10(2) nM for DMS and 1.8 x 10(2) nM for DMSP) in surface water on 27 December 2000 for DMS and on 19 December 2000 for DMSP. When the sea-ice cover is present, the temporal evolution of DMSP closely follows that of chlorophyll a in the water column, supporting the idea that DMSP, and therefore DMS, has a phytoplanktonic origin. However, when the ice cover breaks up during the late austral summer, a second phytoplankton bloom occurs, while the DMSP concentration in the sea-water column remains very low. In the ice core, the results show higher concentrations of DMSP than those of the underlying sea water, highlighting the important role of sea ice in the sulphur cycle of the Antarctic ecosystem.</t>
  </si>
  <si>
    <t>Univ Ca Foscari, Dipartimento Sci Ambientali, I-30123 Venice, Italy; CNR, Ist Dinam Proc Ambientali, I-30123 Venice, Italy; Univ Padua, Dipartimento Biol, I-35121 Padua, Italy</t>
  </si>
  <si>
    <t>Universita Ca Foscari Venezia; Consiglio Nazionale delle Ricerche (CNR); University of Padua</t>
  </si>
  <si>
    <t>Univ Ca Foscari, Dipartimento Sci Ambientali, Dorsoduro 2137, I-30123 Venice, Italy.</t>
  </si>
  <si>
    <t>gambaro@unive.it</t>
  </si>
  <si>
    <t>Barbante, Carlo/B-3195-2011; Capodaglio, Gabriele/D-5295-2014</t>
  </si>
  <si>
    <t>Capodaglio, Gabriele/0000-0002-3689-4865; Barbante, Carlo/0000-0003-4177-2288; Piazza, Rossano/0000-0002-1897-4124; Cescon, Paolo/0000-0003-1836-6759</t>
  </si>
  <si>
    <t>0306-7319</t>
  </si>
  <si>
    <t>1029-0397</t>
  </si>
  <si>
    <t>INT J ENVIRON AN CH</t>
  </si>
  <si>
    <t>Int. J. Environ. Anal. Chem.</t>
  </si>
  <si>
    <t>10.1080/03067310310001636983</t>
  </si>
  <si>
    <t>Chemistry, Analytical; Environmental Sciences</t>
  </si>
  <si>
    <t>Chemistry; Environmental Sciences &amp; Ecology</t>
  </si>
  <si>
    <t>827GA</t>
  </si>
  <si>
    <t>WOS:000221886500002</t>
  </si>
  <si>
    <t>Calace, N; Mirante, S; Petronio, BM; Pietroletti, M; Rugo, C</t>
  </si>
  <si>
    <t>Fulvic acid enrichment in the microlayer of the Gerlache Inlet sea (Antarctica): Preliminary results</t>
  </si>
  <si>
    <t>microlayer; aquatic fulvic acids; enrichment factor; refractory organic matter; antarctica</t>
  </si>
  <si>
    <t>SURFACE MICROLAYER; NATURAL-WATERS; ORGANIC-MATTER; SUBSTANCES; BAY</t>
  </si>
  <si>
    <t>The aim of this work was to study the presence of fulvic acids in Antarctic waters, as they appear to be principal film-forming components in the surface microlayer. We obtained a series of samples during two Antarctic Italian Expeditions in 1998/99 and 2000/01 and studied the distribution and the structural differences between fulvic acids extracted from both microlayer and subsurface waters. Fulvic acids are concentrated in the microlayer and the enrichment factor between microlayer and subsurface water differs between samples. The enrichment factor values for fulvic acids lie between those found for dissolved organic carbon (DOC) and particulate organic carbon (POC) in the literature. Fulvic acids extracted from the microlayer were found to be different in structure from those present in the subsurface layer and enriched in sulphur content. We hypothesised that sulphur-containing compounds are slightly bound and/or occluded in fulvic acid structures. The sulphur-containing compounds analysed in the microlayer could be dimethylsulfide (DMS) and/or its products stemming from photochemical and biological oxidation reactions.</t>
  </si>
  <si>
    <t>Univ Roma La Sapienza, Dipartimento Chim, I-00185 Rome, Italy</t>
  </si>
  <si>
    <t>Sapienza University Rome</t>
  </si>
  <si>
    <t>Univ Roma La Sapienza, Dipartimento Chim, P A Moro 5, I-00185 Rome, Italy.</t>
  </si>
  <si>
    <t>biancamaria.petronio@uniromal.it</t>
  </si>
  <si>
    <t>Calace, Nicoletta/0000-0003-1823-1168</t>
  </si>
  <si>
    <t>10.1080/03067310310001637685</t>
  </si>
  <si>
    <t>WOS:000221886500003</t>
  </si>
  <si>
    <t>Del Bubba, M; Cincinelli, A; Checchini, L; Lepri, L; Desideri, P</t>
  </si>
  <si>
    <t>Horizontal and vertical distributions of biogenic and anthropogenic organic compounds in the Ross Sea (Antarctica)</t>
  </si>
  <si>
    <t>Antarctica; sea water; chromatographic analysis; organic compounds</t>
  </si>
  <si>
    <t>NOVA BAY ANTARCTICA; PACK-ICE; FATTY-ACIDS; WATER; HYDROCARBONS; SEDIMENTS; IDENTIFICATION; SEAWATER</t>
  </si>
  <si>
    <t>Horizontal and vertical distributions of organic compounds extractable with n-hexane were investigated at five sampling stations (Ross Sea) during the Italian Antarctic Expedition 1997/98. Samples were collected from seven depths under pack ice and from two or three depths at the other stations located at different distances from the coast. The lowest concentrations of biogenic and anthropogenic compounds were found at station Y3, the furthest from the coast, while the highest concentrations were observed under pack ice (B2-2 station) or in the Polynya zone (Y1 station). The levels of organic compounds in the particulate phase were higher than those in the dissolved phase for all the investigated samples. Concentrations of biogenic organic compounds (long-chain aldehydes and alcohols, fatty acid esters and n-alkanes) were well related to fluorescence intensity, which is usually reported as a biological activity index. The odd-to-even carbon-number ratio for n-alkanes was lower than I at stations B2-2, Y1, Y5 and Y6 (located less than 150 km far from the coast) with the predominance of n-C16, n-C24 and n-C28, indicative of autochthonous pelagic species. An odd-to-even ratio higher than unity and a different n-alkane profile were observed at station Y3 (about 300 km from the Ross Ice Shelf and 600 km from Terra Nova Bay). Low levels of pollutants (i.e. phthalates) were found, mainly in the particulate phase up to a depth of 50 m, confirming a local source of the phthalates found at significant concentrations during previous expeditions.</t>
  </si>
  <si>
    <t>Univ Florence, Dept Chem, I-50019 Florence, Italy</t>
  </si>
  <si>
    <t>University of Florence</t>
  </si>
  <si>
    <t>Del Bubba, M (corresponding author), Univ Florence, Dept Chem, Lastruccia 3, I-50019 Florence, Italy.</t>
  </si>
  <si>
    <t>delbubba@unifi.it</t>
  </si>
  <si>
    <t>Cincinelli, Alessandra/A-8468-2011</t>
  </si>
  <si>
    <t>Cincinelli, Alessandra/0000-0002-6977-4595</t>
  </si>
  <si>
    <t>10.1080/03067310310001626687</t>
  </si>
  <si>
    <t>WOS:000221886500005</t>
  </si>
  <si>
    <t>Abollino, O; Aceto, M; Buoso, S; La Gioia, C; Sarzanini, C; Mentasti, E</t>
  </si>
  <si>
    <t>Distribution of major, minor and trace elements in Antarctic offshore and coastal seawaters: Correlation among sites and variables by pattern recognition</t>
  </si>
  <si>
    <t>seawater; chemometrics; heavy metals; traces</t>
  </si>
  <si>
    <t>ROSS SEA ANTARCTICA; GLOBAL OCEAN FLUX; SOUTHERN-OCEAN; WEDDELL SEA; STRIPPING VOLTAMMETRY; ORGANIC-MATTER; WATER COLUMN; IRON; CADMIUM; METALS</t>
  </si>
  <si>
    <t>The composition of seawater in the Ross Sea (Antarctica) was, investigated. The distribution of heavy metals (Cd, Cu, Fe, Mn, Ni), minor-and trace (B, Ba, Li, Sr, Si) and major (Na, K, Ca, Mg) elements in coastal and offshore sites was determined. The samples were collected during the XIII Campaign of the Italian National Programme of Research in Antarctica, PNRA, at different depths and different stages of the Antarctic summer. In the subsequent campaign the concentrations in the water top micro-layer, and just below it, were compared. Results are also given for the data treatment by pattern recognition.</t>
  </si>
  <si>
    <t>Univ Turin, Dipartimento Chim Analit, I-10125 Turin, Italy; Univ E Piedmont, Dept Sci &amp; Adv Technol, I-15100 Alessandria, Italy</t>
  </si>
  <si>
    <t>University of Turin; University of Eastern Piedmont Amedeo Avogadro</t>
  </si>
  <si>
    <t>Univ Turin, Dipartimento Chim Analit, Via P Giuria 5, I-10125 Turin, Italy.</t>
  </si>
  <si>
    <t>10.1080/03067310310001637667</t>
  </si>
  <si>
    <t>WOS:000221886500007</t>
  </si>
  <si>
    <t>Vione, D; Maurino, V; Pelizzetti, E; Minero, C</t>
  </si>
  <si>
    <t>Phenol photonitration and photonitrosation upon nitrite photolysis in basic solution</t>
  </si>
  <si>
    <t>nitrophenol; nitrite photolysis; photonitration; photonitrosation</t>
  </si>
  <si>
    <t>AQUEOUS-SOLUTION; NITROGEN-DIOXIDE; UV IRRADIATION; NITRATE IONS; NITROPHENOLS; CHEMISTRY; NO3; PHOTODECOMPOSITION; EXCITATION; OXIDATION</t>
  </si>
  <si>
    <t>Nitrophenols have been detected in some Antarctic lakes, the water of which is basic and rich in nitrate, nitrite and other nutrients. Nitrate or nitrite photolysis could be a possible reaction to explain the presence of these compounds. This work presents evidence for the formation of 2-nitrophenol (2NP), 4-nitrophenol (4NP) and 4-nitrosophenol (4NOP) upon UV irradiation of phenol and nitrite in aerated basic solutions. The pH dependence of the 2NP initial formation rate is different from those of 4NP and 4NOP. The dependence of the first mainly reflects the phenol/phenolate equilibrium, with phenol yielding 2NP at a higher rate than phenolate. In the case of 4NOP, the initial formation rate vs pH has a maximum at pH 9.5. The pH dependence of 4NOP formation rate suggests that three pathways are likely to operate: nitrosation of undissociated phenol by N2O3, prevailing at pH &lt; 8.7, nitrosation of phenolate by N2O3, prevailing in the pH interval 8.7-10.8, and reaction between phenoxyl radical and (NO)-N-center dot, prevailing at pH &gt; 10.8. Phenol nitrosation by N2O3 is favoured when phenol is negatively charged (phenolate), but it is also disfavoured at alkaline pH values, owing to the depletion of N2O3 (the nitrosating agent) by basic hydrolysis. Differently from 2NP, the initial formation rate vs pH of 4NP is very similar to that of 4NOP, suggesting that 4NP may originate from the oxidation of 4NOP. Moreover, while in neutral and acidic solutions the formation rate of 2NP is slightly higher than that of 4NP, in the pH interval 8-12 the formation of 4NP is much more rapid than that of 2NP. This indicates that the pH of natural waters influences the ratio of nitroisomers.</t>
  </si>
  <si>
    <t>Univ Turin, Dipartimento Chim Analit, I-10125 Turin, Italy</t>
  </si>
  <si>
    <t>University of Turin</t>
  </si>
  <si>
    <t>Univ Turin, Dipartimento Chim Analit, Via Pietro Giuria 5, I-10125 Turin, Italy.</t>
  </si>
  <si>
    <t>claudio.minero@unito.it</t>
  </si>
  <si>
    <t>Minero, Claudio/A-6444-2008; Vione, Davide/A-4047-2008</t>
  </si>
  <si>
    <t>Minero, Claudio/0000-0001-9484-130X; Maurino, Valter/0000-0001-8456-525X</t>
  </si>
  <si>
    <t>10.1080/03067310310001640447</t>
  </si>
  <si>
    <t>WOS:000221886500008</t>
  </si>
  <si>
    <t>Triulzi, C; Giuliani, S; Jia, GG; Vaghi, M</t>
  </si>
  <si>
    <t>Evolution of persistent anthropogenic radioactivity in antarctic ecosystems</t>
  </si>
  <si>
    <t>radioecology; pollution; Cs-137; plutonium; Am-241</t>
  </si>
  <si>
    <t>ITALIAN BASE; RADIONUCLIDES; ENVIRONMENT; PLUTONIUM; SR-90; SNOW</t>
  </si>
  <si>
    <t>The primary objective of this study was to observe the evolution of anthropogenic radioactivity contamination in the Antarctic continent throughout the period 1997-1999. Moreover, results have been compared with those obtained for previous expeditions, starting from 1987. As far as Cs-137 is concerned, interesting considerations could be made due to the great amount of available data. On the whole, radioactive contamination seems to be higher in continental than in marine environments. For lake algae, contamination seems to decrease gradually in the order: Tarn Flat, Edmondson Point, Carezza Lake. Focusing on Cs-137 activity data, a clear temporal decreasing trend was observed in all samples: for sea water, values decreased from mean values of 0.9 Bq/m(3) in 1987 to 0.5 Bq/m(3) in 1999, a 56% decrease (20% of the total is due to natural decay of Cs-137). For lake waters and lake algae, the decreases are higher (80 and 30%, respectively) and the same can be assessed for sediments and soils, even if the resulting distributions are more complicated. The highest values for all radionuclides analysed were detected in terrestrial organisms (mosses, lake algae, and lichens). As a consequence, these matrices appear to be good bioindicators of radioactive contamination. Finally, although the Antarctic continent is affected by some degree by anthropogenic radioactive pollution, our results for Cs-137 show that we are facing a progressive decrease. Moreover, contamination in other parts of the world is much higher: from 6-10 times in the Mediterranean Sea and 20-50 times in the North Sea and Black Sea.</t>
  </si>
  <si>
    <t>Univ Parma, Lab Radioecol, Dept Evolut &amp; Funct Biol, I-43100 Parma, Italy; ANPA, I-00144 Rome, Italy</t>
  </si>
  <si>
    <t>Univ Parma, Lab Radioecol, Dept Evolut &amp; Funct Biol, Parco Area Sci 11-A, I-43100 Parma, Italy.</t>
  </si>
  <si>
    <t>silvia.giuliani@bo.ismar.cnr.it</t>
  </si>
  <si>
    <t>GIULIANI, SILVIA/E-4164-2018</t>
  </si>
  <si>
    <t>GIULIANI, SILVIA/0000-0001-8101-1868</t>
  </si>
  <si>
    <t>10.1080/03067310310001659979</t>
  </si>
  <si>
    <t>WOS:000221886500009</t>
  </si>
  <si>
    <t>Caimi, S; Senofonte, O; Kramer, GN; Robouch, P; Caroli, S</t>
  </si>
  <si>
    <t>A pilot study on the feasibility of the preparation of a new certified reference material based on the Antarctic scallop Adamussium colbecki</t>
  </si>
  <si>
    <t>certified reference materials; Antarctica; inductively coupled plasma mass spectrometry; Adamussium colbecki; inductively coupled plasma atomic emission spectrometry</t>
  </si>
  <si>
    <t>As foreseen by the Italian National Programme of Research in Antarctica, a preliminary investigation was performed to ascertain the feasibility of the production of a new Certified Reference Material for trace elements based on the bivalve Adamussium colbecki. The scallops sampled in Antarctica during the 1999-2000 Italian scientific expedition were analyzed by inductively coupled plasma atomic emission spectrometry and high-resolution inductively coupled plasma mass spectrometry for their content in selected trace elements (As, Cd, Cr, Cu, Fe, Hg, Mn, Mo, Ni, V and Zn). The certification campaign will be undertaken on the basis of the findings of this feasibility study in close cooperation with the Institute for Reference Materials and Measurements, Joint Research Centre of the European Commission.</t>
  </si>
  <si>
    <t>Ist Super Sanita, I-00161 Rome, Italy; Commiss European Communities, Joint Res Ctr, Inst Reference Mat &amp; Measurements, B-2440 Geel, Belgium</t>
  </si>
  <si>
    <t>Istituto Superiore di Sanita (ISS); European Commission Joint Research Centre; EC JRC Institute for Reference Materials &amp; Measurements (IRMM)</t>
  </si>
  <si>
    <t>Caroli, S (corresponding author), Ist Super Sanita, Viale Regina Elena 299, I-00161 Rome, Italy.</t>
  </si>
  <si>
    <t>caroli@iss.it</t>
  </si>
  <si>
    <t>Caimi, Stefano/HIR-3344-2022</t>
  </si>
  <si>
    <t>Caimi, Stefano/0000-0001-5338-4026</t>
  </si>
  <si>
    <t>10.1080/03067310310001626759</t>
  </si>
  <si>
    <t>WOS:000221886500013</t>
  </si>
  <si>
    <t>Donachie, SP; Bowman, JP; Alam, M</t>
  </si>
  <si>
    <t>Psychroflexus tropicus sp nov., an obligately halophilic Cytophaga-Flavobacterium-Bacteroides group bacterium from an Hawaiian hypersaline lake</t>
  </si>
  <si>
    <t>MICROBIAL COMMUNITY</t>
  </si>
  <si>
    <t>A Gram-negative bacterium designated LA1(T) was isolated from water collected in hypersaline Lake Laysan on Laysan Island in the Northwestern Hawaiian Islands. Cells occurred singly as fine rods to short filaments. Growth in 50 % strength marine broth occurred optimally when the medium contained 7.5-10% (w/v) NaCl. The major fatty acids in LA1(T) grown at 15 and 30 degreesC were 12-methyl tetradecanoic acid and 13-methyl tetradecanoic acid, respectively. The nucleotide sequence of the 16S rRNA gene showed that LA1(T) belonged in the Cytophaga-Flavobacterium-Bacteroides (CFB) group in the domain Bacteria. The closest described neighbour in terms of 16S rRNA gene sequence identity was Psychroflexus torquis ACAM 623(T) (94.4 % over 1423 bases), an obligate psychrophile from Antarctic sea-ice. The G+C content of 35.0 mol% was consistent with this affiliation. Phenotypic and genotypic analyses, including DNA hybridization, indicated that LA1(T) could be assigned to the genus Psychroflexus but, based on significant differences, including growth at 43 degreesC, it constitutes a novel species, Psychroflexus tropicus sp. nov., for which LA1(T) (=ATCC BAA-734(T) = DSM 15496(T)) is the type strain.</t>
  </si>
  <si>
    <t>Univ Hawaii, Dept Microbiol, Honolulu, HI 96822 USA; Univ Tasmania, Sch Agr Sci, Hobart, Tas 7001, Australia</t>
  </si>
  <si>
    <t>University of Hawaii System; University of Tasmania</t>
  </si>
  <si>
    <t>Univ Hawaii, Dept Microbiol, 2538 Mall, Honolulu, HI 96822 USA.</t>
  </si>
  <si>
    <t>alam@hawaii.edu</t>
  </si>
  <si>
    <t>Bowman, John P/C-2414-2014; Donachie, Stuart P/O-6220-2016; Bowman, John P./ABF-5108-2020</t>
  </si>
  <si>
    <t>Bowman, John P/0000-0002-4528-9333; Bowman, John P./0000-0002-4528-9333; Donachie, Stuart/0000-0002-8322-6915</t>
  </si>
  <si>
    <t>10.1099/ijs.0.02733-0</t>
  </si>
  <si>
    <t>822ZM</t>
  </si>
  <si>
    <t>WOS:000221579500045</t>
  </si>
  <si>
    <t>Baboukas, E; Sciare, J; Mihalopoulos, N</t>
  </si>
  <si>
    <t>Spatial, temporal and interannual variability of methanesulfonate and non-sea-salt sulfate in rainwater in the Southern Indian Ocean (Amsterdam, Crozet and Kerguelen Islands)</t>
  </si>
  <si>
    <t>JOURNAL OF ATMOSPHERIC CHEMISTRY</t>
  </si>
  <si>
    <t>biogeochemical sulfur cycle; methanesulfonate; non-sea-salt sulfate; rainwater; Southern Indian Ocean</t>
  </si>
  <si>
    <t>COASTAL ANTARCTIC AEROSOL; ATLANTIC-OCEAN; ATMOSPHERIC DIMETHYLSULFIDE; RELATIVE CONTRIBUTION; SEASONAL-VARIATIONS; OXIDATION-PRODUCTS; PACIFIC-OCEAN; CAPE GRIM; SULFUR; PRECIPITATION</t>
  </si>
  <si>
    <t>Methanesulfonate (MS-) and non-sea-salt sulfate (nss-SO42-), two of the major oxidation products of atmospheric dimethylsulfide (DMS), have been continuously measured in rainwater at three remote islands in the Southern Indian Ocean: Amsterdam since 1991, Crozet since 1992, and Kerguelen since 1993. The annual volume weighted mean (VWM) concentrations of nss-SO42- in rainwater were 3.19, 3.04 and 4.57 mueq 1(-1) at Amsterdam, Crozet, and Kerguelen, respectively while the VWM of MS- were 0.24, 0.15 and 0.30 mueq 1(-1), respectively. At all three islands, MS- presented a well-distinguished seasonal variation with a maximum during summer whereas the seasonal variation of nss-SO42- was less pronounced, possibly due to the increased anthropogenic influence during the winter period. Furthermore, MS- presented significant interannual variations, in particular at Amsterdam and Crozet, which is closely related to the sea-surface temperature (SST) anomalies). Finally, the nss-SO42- deposition at Crozet Island presented a decreasing interannual trend, reflecting probably reductions in sulfur emissions from Southern Africa. On the contrary no interannual tendency was observed in the nss-SO42- concentrations at Amsterdam Island, indicating that the biogeochemical sulfur cycle at this area is mainly influenced by biogenic emissions.</t>
  </si>
  <si>
    <t>Univ Crete, ECPL, Dept Chem, Iraklion 71409, Greece; Max Planck Inst Chem, Air Chem Dept, D-55020 Mainz, Germany; CEA Arme Merisiers, LSCE, F-91191 Gif Sur Yvette, France</t>
  </si>
  <si>
    <t>University of Crete; Max Planck Society; CEA; Centre National de la Recherche Scientifique (CNRS); Universite Paris Saclay</t>
  </si>
  <si>
    <t>Univ Crete, ECPL, Dept Chem, POB 1470, Iraklion 71409, Greece.</t>
  </si>
  <si>
    <t>baboukas@mpch-mainz.jpg/de; sciare@lsce.saclay.cea.fr; mihalo@chemistry.uoc.gr</t>
  </si>
  <si>
    <t>sciare, jean/A-9529-2008; Mihalopoulos, Nikolaos/ABF-2255-2020; Mihalopoulos, Nikolaos/H-5327-2016</t>
  </si>
  <si>
    <t>Mihalopoulos, Nikolaos/0000-0002-1282-0896; sciare, jean/0000-0002-9908-6718</t>
  </si>
  <si>
    <t>0167-7764</t>
  </si>
  <si>
    <t>1573-0662</t>
  </si>
  <si>
    <t>J ATMOS CHEM</t>
  </si>
  <si>
    <t>J. Atmos. Chem.</t>
  </si>
  <si>
    <t>10.1023/B:JOCH.0000034508.13326.cd</t>
  </si>
  <si>
    <t>837CE</t>
  </si>
  <si>
    <t>WOS:000222603900002</t>
  </si>
  <si>
    <t>Salmon, RA; Schiller, CL; Harris, GW</t>
  </si>
  <si>
    <t>Evaluation of the salicylic acid-liquid phase scrubbing technique to monitor atmospheric hydroxyl radicals</t>
  </si>
  <si>
    <t>ambient data; hydroxyl radical; interference test; OH; salicylic acid</t>
  </si>
  <si>
    <t>LASER-INDUCED FLUORESCENCE; TROPOSPHERIC OH RADICALS; POPCORN FIELD CAMPAIGN; ELECTROCHEMICAL DETECTION; HYDROGEN-PEROXIDE; IN-VIVO; AROMATIC HYDROXYLATION; OXIDATIVE STRESS; BENZOIC-ACIDS; 185 NM</t>
  </si>
  <si>
    <t>A novel method has been examined for monitoring tropospheric hydroxyl radicals ( OH), the most important oxidant in tropospheric chemistry. Aqueous phase salicylic acid reacts with atmospheric OH to produce 2,5-dihydroxy benzoic acid (2,5-DHBA) and other products. High Performance Liquid Chromatography ( HPLC) is used to separate the post-reaction solution and the products are quantified using fluorescence detection. Unlike other methods, it has been reported to be inexpensive, portable and relatively simple. Although the sensitivity was sufficient to measure typical daytime OH concentrations of 0.04-0.4 ppt., the method was hindered by numerous interferences. Successive identification and elimination of these still resulted in a signal that was much larger than expected. Tests showed that this was not likely to be due to ozone, HO2, NOx, H2O2, aerosols, light or bacteria. Experimental and numerical studies suggest that the interference could be due to methyl peroxy radicals. The effect of many other components in the atmosphere, both individual and combined, must also be tested before the method can be used reliably in the field. The validity of previous reports of ambient hydroxyl measurements using this technique is therefore brought into question.</t>
  </si>
  <si>
    <t>York Univ, Ctr Atmospher Chem, N York, ON M3J 1P3, Canada</t>
  </si>
  <si>
    <t>York University - Canada</t>
  </si>
  <si>
    <t>British Antarctic Survey, Halley Res Stn, Halley, England.</t>
  </si>
  <si>
    <t>rasa@south.nerc-bas.ac.uk; corinnes@yorku.ca; gharris@yorku.ca</t>
  </si>
  <si>
    <t>Schiller, Corinne/0000-0002-8381-0134</t>
  </si>
  <si>
    <t>10.1023/B:JOCH.0000034516.95400.c3</t>
  </si>
  <si>
    <t>WOS:000222603900004</t>
  </si>
  <si>
    <t>Massom, RA; Pook, MJ; Comiso, JC; Adams, N; Turner, J; Lachlan-Cope, T; Gibson, TT</t>
  </si>
  <si>
    <t>Precipitation over the interior East Antarctic Ice Sheet related to midlatitude blocking-high activity</t>
  </si>
  <si>
    <t>SURFACE MASS-BALANCE; WINTER SNOW COVER; SEA-ICE; TEMPORAL VARIABILITY; WILKES LAND; FIRN-CORE; ACCUMULATION; CLIMATOLOGY; REANALYSIS; TEMPERATURES</t>
  </si>
  <si>
    <t>Intermittent atmospheric blocking-high activity in the South Tasman Sea is shown to play a key role in delivering substantial snowfall as far south as at least 75degreesS on the central East Antarctic Ice Sheet plateau. Typically, cyclones fail to penetrate this far (&gt;1000 km) inland, and accumulation was thought to be dominated by clear-sky precipitation. In East Antarctica, the meridional cloud bands delivering the moisture originate from as far north as 35degrees - 40degreesS, and appear to preferentially pass over the East Antarctic coast in a corridor from similar to120degrees to 160degreesE. Comparison of surface observations, model, and satellite data suggests that a few such episodes contribute a significant proportion of the ( low) mean annual accumulation of the central East Antarctic Ice Sheet (e.g., an estimated 44% at Dome C over 18 days in December 2001 - January 2002). Blocking-high-related incursions also cause abrupt increases in the surface wind speed ( snow redistribution) and air temperature; this has implications for the interpretation of ice core data. Blocking-high-related precipitation episodes can generally be detected over the ice sheet interior, via abrupt changes (of similar to0.02 -0.04) in polarization in 37- and 85-GHz SSM/I data, due to the relative stability of the surface and its background'' microwave signature and the relative lack of cloud cover overall. This is not the case in high-accumulation near-coastal regions such as Law Dome, where additional information is required. Ambiguities remain due to blowing snow and hoarfrost formation. Further research is necessary to examine the frequency of occurrence and variability of midlatitude blocking-high systems, their effect on precipitation in the Antarctic Ice Sheet interior, and the potential effect of global change.</t>
  </si>
  <si>
    <t>Univ Tasmania, Antarctic Climate &amp; Ecosyst Cooperat Res Ctr, Hobart, Tas 7001, Australia; CSIRO Marine Res, Hobart, Tas, Australia; NASA, Oceans &amp; Ice Branch, Goddard Space Flight Ctr, Greenbelt, MD 20771 USA; Australian Bur Meteorol, Hobart, Tas, Australia; British Antarctic Survey, Cambridge CB3 0ET, England; Univ Tasmania, Antarctic Cooperat Res Ctr, Hobart, Tas, Australia</t>
  </si>
  <si>
    <t>Antarctic Climate &amp; Ecosystems Cooperative Research Centre (ACE CRC); University of Tasmania; Commonwealth Scientific &amp; Industrial Research Organisation (CSIRO); National Aeronautics &amp; Space Administration (NASA); NASA Goddard Space Flight Center; Bureau of Meteorology - Australia; UK Research &amp; Innovation (UKRI); Natural Environment Research Council (NERC); NERC British Antarctic Survey; University of Tasmania</t>
  </si>
  <si>
    <t>Univ Tasmania, Antarctic Climate &amp; Ecosyst Cooperat Res Ctr, Private Bag 80, Hobart, Tas 7001, Australia.</t>
  </si>
  <si>
    <t>r.massom@utas.edu.au</t>
  </si>
  <si>
    <t>Pook, Michael J/A-3810-2012</t>
  </si>
  <si>
    <t>Massom, Robert/0000-0003-1533-5084</t>
  </si>
  <si>
    <t>10.1175/1520-0442(2004)017&lt;1914:POTIEA&gt;2.0.CO;2</t>
  </si>
  <si>
    <t>818VK</t>
  </si>
  <si>
    <t>WOS:000221272400002</t>
  </si>
  <si>
    <t>Roe, GH; Steig, EJ</t>
  </si>
  <si>
    <t>Characterization of millennial-scale climate variability</t>
  </si>
  <si>
    <t>LAST GLACIAL PERIOD; GREENLAND ICE-SHEET; NORTH-ATLANTIC; YOUNGER DRYAS; THERMOHALINE CIRCULATION; TEMPERATURE PATTERNS; STOCHASTIC RESONANCE; BIPOLAR SEESAW; TIME-SCALE; ANTARCTICA</t>
  </si>
  <si>
    <t>The oxygen isotope time series from ice cores in central Greenland [the Greenland Ice Sheet Project 2 (GISP2) and the Greenland Ice Core Project (GRIP)] and West Antarctica (Byrd) provide a basis for evaluating the behavior of the climate system on millennial time scales. These time series have been invoked as evidence for mechanisms such as an interhemispheric climate seesaw or a stochastic resonance process. Statistical analyses are used to evaluate the extent to which these mechanisms characterize the observed time series. Simple models in which the Antarctic record reflects the Greenland record or its integral are statistically superior to a model in which the two time series are unrelated. However, these statistics depend primarily on the large events in the earlier parts of the record ( between 80 and 50 kyr BP). For the shorter, millennial-scale (Dansgaard - Oeschger) events between 50 and 20 kyr BP, a first-order autoregressive [AR(1)] stochastic climate model with a physical time scale of tau = 600 +/- 300 yr is a self-consistent explanation for the Antarctic record. For Greenland, AR(1) with t 5 400 6 200 yr, plus a simple threshold rule, provides a statistically comparable characterization to stochastic resonance (though it cannot account for the strong 1500-yr spectral peak). The similarity of the physical time scales underlying the millennial-scale variability provides sufficient explanation for the similar appearance of the Greenland and Antarctic records during the 50-20-kyr BP interval. However, it cannot be ruled out that improved cross dating for these records may strengthen the case for an interhemispheric linkage on these shorter time scales. Additionally, the characteristic time scales for the records are significantly shorter during the most recent 10 kyr. Overall, these results suggest that millennial-scale variability is determined largely by regional processes that change significantly between glacial and interglacial climate regimes, with little influence between the Southern and Northern Hemispheres except during those largest events that involve major reorganizations of the ocean thermohaline circulation.</t>
  </si>
  <si>
    <t>Univ Washington, Dept Earth &amp; Space Sci, Seattle, WA 98195 USA; Univ Washington, Quaternary Res Ctr, Seattle, WA 98195 USA</t>
  </si>
  <si>
    <t>Univ Washington, Dept Earth &amp; Space Sci, Box 351360, Seattle, WA 98195 USA.</t>
  </si>
  <si>
    <t>Gerard@ess.washington.edu</t>
  </si>
  <si>
    <t>/G-9088-2015</t>
  </si>
  <si>
    <t>/0000-0002-8191-5549</t>
  </si>
  <si>
    <t>10.1175/1520-0442(2004)017&lt;1929:COMCV&gt;2.0.CO;2</t>
  </si>
  <si>
    <t>WOS:000221272400003</t>
  </si>
  <si>
    <t>Sokolov, S; King, BA; Rintoul, SR; Rojas, RL</t>
  </si>
  <si>
    <t>Upper ocean temperature and the baroclinic transport stream function relationship in Drake Passage</t>
  </si>
  <si>
    <t>Antarctic Circumpolar Current; baroclinic transport; Southern Ocean</t>
  </si>
  <si>
    <t>ANTARCTIC CIRCUMPOLAR CURRENT; GRAVEST EMPIRICAL MODE; WATER MASSES; VARIABILITY; SECTION; FRONTS; 140-DEGREES-E; ATLANTIC; TASMANIA; SOUTH</t>
  </si>
  <si>
    <t>[1] Repeat hydrographic sections across the Antarctic Circumpolar Current (ACC) in Drake Passage are used to derive an empirical relationship between upper ocean temperature and the baroclinic transport stream function. Cross validation shows this relationship can be used to infer baroclinic transport (above and relative to 2500 m) from expendable bathythermograph (XBT) temperature measurements with an error of a few per cent. Transport errors of less than 2 Sv are obtained if temperature at depths between 600 and 1600 m is used to define the relationship. Temperature at depths above 300 m provides an unreliable index of transport because of variability in temperature-salinity (T-S) properties produced by air-sea interaction. The scatter in the relationship between temperature and stream function from repeat observations along a single line is similar in magnitude to the scatter observed when data from the broader Drake Passage area are considered. In both cases, variability about the mean temperature-stream function relationship reflects advection of water with anomalous T-S properties. The tight relationship between temperature and stream function in Drake Passage and south of Australia suggests baroclinic transports can be inferred from XBT temperatures with high accuracy in the Southern Ocean, providing a cost-effective means of monitoring ACC variability. However, care must be taken at the end points, particularly in the Drake Passage where the strong flow of the Subantarctic Front sometimes lies over the continental slope.</t>
  </si>
  <si>
    <t>CSIRO Marine Res, GPO Box 1538, Hobart, Tas 7001, Australia; Antarctic Climate &amp; Ecosyst Cooperat Res Ctr, Hobart, Tas 7001, Australia; Southampton Oceanog Ctr, Southampton SO14 3ZH, Hants, England; CENDOC, SHOA, Valparaiso, Chile</t>
  </si>
  <si>
    <t>Commonwealth Scientific &amp; Industrial Research Organisation (CSIRO); Antarctic Climate &amp; Ecosystems Cooperative Research Centre (ACE CRC); University of Southampton; NERC National Oceanography Centre</t>
  </si>
  <si>
    <t>Sokolov, S (corresponding author), CSIRO Marine Res, GPO Box 1538, Hobart, Tas 7001, Australia.</t>
  </si>
  <si>
    <t>serguei.sokolov@csiro.au; brian.a.king@soc.soton.ac.uk; steve.rintoul@csiro.au; rrojas@shoa.cl</t>
  </si>
  <si>
    <t>Rintoul, Stephen R/A-1471-2012; Rojas-Gonzalez, Raul/AAF-1871-2020; Sokolov, Serguei/A-4882-2008</t>
  </si>
  <si>
    <t>Rintoul, Stephen R/0000-0002-7055-9876; Rojas-Gonzalez, Raul/0000-0003-1596-7030;</t>
  </si>
  <si>
    <t>C05001</t>
  </si>
  <si>
    <t>10.1029/2003JC002010</t>
  </si>
  <si>
    <t>819OX</t>
  </si>
  <si>
    <t>WOS:000221325600001</t>
  </si>
  <si>
    <t>Prézelin, BB; Hofmann, EE; Moline, M; Klinck, JM</t>
  </si>
  <si>
    <t>Physical forcing of phytoplankton community structure and primary production in continental shelf waters of the Western Antarctic Peninsula</t>
  </si>
  <si>
    <t>JOURNAL OF MARINE RESEARCH</t>
  </si>
  <si>
    <t>BRANSFIELD STRAIT; EUPHAUSIA-SUPERBA; ROSS SEA; ASSEMBLAGES; VARIABILITY; DYNAMICS; MASSES; MODEL; KRILL</t>
  </si>
  <si>
    <t>Analyses of a multidisciplinary data set, collected in continental shelf waters of the Western Antarctic Peninsula (WAP) during austral summer of January 1993, identified a previously unrecognized forcing mechanism that sets up a physical and chemical structure that supports and assures site-specific diatom-dominated communities and enhanced biological production (Prezelin et al., 2000). This forcing is active when the southern boundary of the Antarctic Circumpolar Current (ACC) flows along the shelf edge, thereby facilitating onshelf bottom intrusions of nutrient-rich Upper Circumpolar Deep Water (UCDW), which then is upwelled or mixed into the upper water column. At times or locations where UCDW is not introduced to the upper water column, diatoms no longer dominate phytoplankton assemblages over the mid- to outer WAP continental shelf. This analysis extends the area and seasons studied through similar analyses of multidisciplinary data sets collected on four additional cruises to the WAP that cover all seasons. Results show that onshelf intrusions of UCDW: (1) occur in other regions of the WAP continental shelf; (2) are episodic; (3) are forced by nonseasonal physical processes; and (4) produce areas of diatom-dominated phytoplankton assemblages and enhanced primary production. At times, multiple intrusions are observed on the WAP continental shelf, and each event may be in a different stage. Further, the occurrence of an intrusion event in one area does not necessarily imply that similar events are ongoing in other areas along the WAP shelf. The UCDW bottom intrusions originate along the outer shelf but they can extend into the inner shelf region because the deep troughs that transect the WAP shelf provide connections between the inner and outer shelf. The boundary between the intruded water and the shelf water is variable in location because of the episodic nature of the onshelf intrusions, and is moved farther inshore as an event occurs. These observations show clearly that the phytoplankton community structure on the WAP shelf is determined by physical forcing and that primary production is likely to be considerably greater than previously believed. Moreover, variability in this physical forcing, such as may occur via climate change, can potentially affect the overall biological production of the WAP continental shelf system.</t>
  </si>
  <si>
    <t>Univ Calif Santa Barbara, Inst Marine Sci, Santa Barbara, CA 93106 USA; Univ Calif Santa Barbara, Dept Ecol Evolut &amp; Marine Biol, Santa Barbara, CA 93106 USA; Old Dominion Univ, Ctr Coastal Phys Oceanog, Norfolk, VA 23529 USA; Calif Polytech State Univ San Luis Obispo, Dept Biol Sci, San Luis Obispo, CA 93407 USA</t>
  </si>
  <si>
    <t>University of California System; University of California Santa Barbara; University of California System; University of California Santa Barbara; Old Dominion University; California State University System; California Polytechnic State University San Luis Obispo</t>
  </si>
  <si>
    <t>Univ Calif Santa Barbara, Inst Marine Sci, Santa Barbara, CA 93106 USA.</t>
  </si>
  <si>
    <t>prezelin@lifesci.ucsb.edu</t>
  </si>
  <si>
    <t>SEARS FOUNDATION MARINE RESEARCH</t>
  </si>
  <si>
    <t>NEW HAVEN</t>
  </si>
  <si>
    <t>YALE UNIV, KLINE GEOLOGY LAB, 210 WHITNEY AVENUE, NEW HAVEN, CT 06520-8109 USA</t>
  </si>
  <si>
    <t>0022-2402</t>
  </si>
  <si>
    <t>1543-9542</t>
  </si>
  <si>
    <t>J MAR RES</t>
  </si>
  <si>
    <t>J. Mar. Res.</t>
  </si>
  <si>
    <t>10.1357/0022240041446173</t>
  </si>
  <si>
    <t>840LJ</t>
  </si>
  <si>
    <t>WOS:000222859800005</t>
  </si>
  <si>
    <t>Touratier, F; Goyet, C</t>
  </si>
  <si>
    <t>Definition, properties, and Atlantic Ocean distribution of the new tracer TrOCA</t>
  </si>
  <si>
    <t>water masses; carbon cycling; chemical tracers</t>
  </si>
  <si>
    <t>ANTHROPOGENIC CARBON; REDFIELD RATIOS; CO2; CIRCULATION; INCREASE</t>
  </si>
  <si>
    <t>Natural and anthropogenic tracers in the ocean are widely used not only to better understand water masses circulation and mixing but also to understand and quantify the ocean uptake and storage capacity of greenhouse gases. However , since each tracer is different. it is best to use the complementarity of several tracers to unequivocally identify the various water masses. Here we illustrate the conservative properties and the spatial distribution of the new composite tracer TrOCA (Tracer combining Oxygen, inorganic Carbon, and total Alkalinity) using oxygen (O-2), dissolved inorganic carbon (TCO2), and total alkalinity (TA). front the Atlantic Ocean. The significant accuracy improvement of TCO2 and TA measurements since the 1970s. combined to a large effort in measuring these parameters during large scale cruises throughout the Atlantic Ocean, makes this tracer TrOCA an additional tool in analyzing water mass distribution. This tracer is shown to be conservative in intermediate. deep, and bottom waters. For instance, we show that the independence of TrOCA from other tracers provides further information on the origin and mixing of the main Atlantic water masses. Furthermore, TrOCA combined with the composite tracer NO, in particular the ratio TrOCA/NO, can be used to unequivocally identify and separate the Antarctic Intermediate Water, the Antarctic Bottom Water, and the North Atlantic Deep Water. (C) 2004 Elsevier B.V. All rights reserved.</t>
  </si>
  <si>
    <t>Univ Perpignan, F-66860 Perpignan, France</t>
  </si>
  <si>
    <t>Universite Perpignan Via Domitia</t>
  </si>
  <si>
    <t>Touratier, F (corresponding author), Univ Perpignan, EA LBDSI 1947,52 Ave Paul Alduy, F-66860 Perpignan, France.</t>
  </si>
  <si>
    <t>touratie@univ-perp.fr</t>
  </si>
  <si>
    <t>10.1016/j.jmarsys.2003.11.016</t>
  </si>
  <si>
    <t>815XR</t>
  </si>
  <si>
    <t>WOS:000221075500012</t>
  </si>
  <si>
    <t>Ayress, MA; De Deckker, P; Coles, GP</t>
  </si>
  <si>
    <t>A taxonomic and distributional survey of marine benthonic Ostracoda off Kerguelen and Heard Islands, South Indian Ocean</t>
  </si>
  <si>
    <t>JOURNAL OF MICROPALAEONTOLOGY</t>
  </si>
  <si>
    <t>WATER-MASSES; QUATERNARY PALEOCEANOGRAPHY; ATLANTIC; SEA</t>
  </si>
  <si>
    <t>From an examination of 34 grab and dredge samples ranging from 110 m to 3584 in water depth, collected during Eltanin cruise 47 across the Kerguelen Plateau, 26 shallow-water and 35 deep-sea benthonic ostracod species have been identified. Systematic notes and illustrations of the common and some of the rare species are presented. Two new species are described: Philoneptunus cassidyi n. sp. and Taracythere abyssora n. sp. Comparisons made with the Atlantic and SW Pacific Oceans and circum-Antarctic regions indicate that the fauna comprises dominantly cosmopolitan deep-sea species while most of the other species have close affinities with the SW Pacific. In the Kerguelen material, seven distinct depth assemblages appear to correspond well with differing watermasses and there is evidence that the relatively shallow position of Antarctic Intermediate Water permits elevation of the upper depth limits of some deep-sea species. Some species have developed ornament of fine reticulation, features not previously seen in those species outside the Kerguelen region.</t>
  </si>
  <si>
    <t>Ichron Ltd, Gadbrook Business Ctr, Northwich CW9 7TN, Cheshire, England; Australian Natl Univ, Dept Geol, Canberra, ACT 0200, Australia</t>
  </si>
  <si>
    <t>Ichron Ltd, Gadbrook Business Ctr, 5 Dalby Court, Northwich CW9 7TN, Cheshire, England.</t>
  </si>
  <si>
    <t>info@ichron.com; patrick.dedeckker@anu.edu.au; GPColes@krithel.freeserve.co.uk</t>
  </si>
  <si>
    <t>0262-821X</t>
  </si>
  <si>
    <t>2041-4978</t>
  </si>
  <si>
    <t>J MICROPALAEONTOL</t>
  </si>
  <si>
    <t>J. Micropalaentol.</t>
  </si>
  <si>
    <t>10.1144/jm.23.1.15</t>
  </si>
  <si>
    <t>826JN</t>
  </si>
  <si>
    <t>WOS:000221825500004</t>
  </si>
  <si>
    <t>Guerrero, A; Icardo, JM; Durán, AC; Gallego, A; Domezain, A; Colvee, E; Sans-Coma, V</t>
  </si>
  <si>
    <t>Differentiation of the cardiac outflow tract components in alevins of the sturgeon Acipenser naccarii (Osteichthyes, acipenseriformes):: Implications for heart evolution</t>
  </si>
  <si>
    <t>JOURNAL OF MORPHOLOGY</t>
  </si>
  <si>
    <t>heart; conus arteriosus; bulbus arteriosus; acipenseriformes; Osteichthyes</t>
  </si>
  <si>
    <t>AORTIC SMOOTH-MUSCLE; NEURAL CREST CELLS; CONUS ARTERIOSUS; BULBUS ARTERIOSUS; CHICK-EMBRYO; ANTARCTIC TELEOSTS; EXPRESSION; MORPHOLOGY; FISH; PATHOGENESIS</t>
  </si>
  <si>
    <t>Previous work showed that in the adult sturgeon an intrapericardial, nonmyocardial segment is interposed between the conus arteriosus of the heart and the ventral aorta. The present report illustrates the ontogeny of this intermediate segment in Acipenser naccarii. The sample studied consisted of 178 alevins between I and 24 days posthatching. They were examined using light and electron microscopy. Our observations indicate that the entire cardiac outflow tract displays a myocardial character during early development. Between the fourth and sixth days posthatching, the distal portion of the cardiac outflow tract undergoes a phenotypical transition, from a myocardial to a smooth muscle-like phenotype. The length of this region with regard to the whole outflow tract increases only moderately during subsequent developmental stages, becoming more and more cellularized. The cells soon organize into a pattern that resembles that of the arterial wall. Elastin appears at this site by the seventh day posthatching. Therefore, two distinct components, proximal and distal, can be recognized from the fourth day posthatching in the cardiac outflow tract of A. naccarii. The proximal component is the conus arteriosus, characterized by its myocardial nature and the presence of endocardial cushions. The distal component transforms into the intrapericardial, nonmyocardial segment mentioned above, which is unequivocally of cardiac origin. We propose to designate this segment the bulbus arteriosus because it is morphogenetically equivalent to the bulbus arteriosus of teleosts. The present findings, together with data from the literature, point to the possibility that cells from the cardiac neural crest are involved in the phenotypical transition that takes place at the distal portion of the cardiac outflow tract, resulting in the appearance of the bulbus arteriosus. Moreover, they suggest that the cardiac outflow tract came to be formed by a bulbus arteriosus and a conus arteriosus from an early period of the vertebrate evolutionary story. Finally, we hypothesize that the embryonic truncus of birds and mammals is homologous to the bulbus arteriosus of fish. (C) 2004 Wiley-Liss, Inc.</t>
  </si>
  <si>
    <t>Univ Malaga, Fac Sci, Dept Anim Biol, Malaga 29071, Spain; Univ Cantabria, Dept Anat &amp; Cell Biol, Santander 30911, Spain; Dept R&amp;D Piscifactoria Sierra Nevada, Granada 18313, Spain</t>
  </si>
  <si>
    <t>Universidad de Malaga; Universidad de Cantabria</t>
  </si>
  <si>
    <t>Univ Malaga, Fac Sci, Dept Anim Biol, Malaga 29071, Spain.</t>
  </si>
  <si>
    <t>sanscoma@uma.es</t>
  </si>
  <si>
    <t>/AAG-9282-2020; Icardo, Jose Manuel/ABH-5431-2020</t>
  </si>
  <si>
    <t>Icardo, Jose Manuel/0000-0001-9543-2444</t>
  </si>
  <si>
    <t>0362-2525</t>
  </si>
  <si>
    <t>1097-4687</t>
  </si>
  <si>
    <t>J MORPHOL</t>
  </si>
  <si>
    <t>J. Morphol.</t>
  </si>
  <si>
    <t>10.1002/jmor.10200</t>
  </si>
  <si>
    <t>Anatomy &amp; Morphology</t>
  </si>
  <si>
    <t>817ME</t>
  </si>
  <si>
    <t>WOS:000221180800004</t>
  </si>
  <si>
    <t>Zeh, A; Millar, IL; Horstwood, MSA</t>
  </si>
  <si>
    <t>Polymetamorphism in the NE Shackleton Range, Antarctica:: Constraints from petrology and U-Pb, Sm-Nd, Rb-Sr TIMS and in situ U-Pb LA-PIMMS dating</t>
  </si>
  <si>
    <t>garnet microtexture; P-T pseudosection; geochronology; polymetamorphism; Shackleton Range; Antarctica</t>
  </si>
  <si>
    <t>HIGH-GRADE PARAGNEISSES; ZONE SOUTHERN ALPS; TH-PB; METAMORPHIC EVOLUTION; METAPELITIC ROCKS; ICP-MS; ZIRCON; MONAZITE; GEOCHRONOLOGY; ISOTOPE</t>
  </si>
  <si>
    <t>Metapelitic rock samples from the NE Shackleton Range, Antarctica, include garnet with contrasting zonation patterns and two age spectra. Garnet porphyroblasts in K-rich kyanite-sillimanite- staurolite-garnet-muscovite-biotite schists from Lord Nunatak show prograde growth zonation, and give Sm-Nd garnet, U-Pb monazite and Rb-Sr muscovite ages of 518 +/- 5, 514 +/- 1 and 499 +/- 12 Ma, respectively. Geothermobarometry and P-T pseudo-section calculations in the model system CaO-Na2O-K2O- TiO2-MnO-FeO-MgO-Al2O3-SiO2-H2O are consistent with garnet growth during prograde heating from 540degreesC/7 kbar to 650degreesC/7.5 kbar, and partial resorption during a subsequent P-T decrease to &lt;650degreesC at &lt;6 kbar. All data indicate that rocks from Lord Nunatak were affected by a single orogenic cycle. In contrast, garnet porphyroblasts in K-poor kyanite-sillimanite- staurolite-garnet-cordierite-biotite-schists from Meade Nunatak show two growth stages and diffusion-controlled zonation. Two distinct age groups were obtained. Laser ablation plasma ionization multicollector mass spectrometry in situ analyses of monazite, completely enclosed by a first garnet generation, yield ages of c. 1700 Ma, whereas monazite grains in open garnet fractures and in most matrix domains give c. 500 Ma. Both age groups are also obtained by U-Pb thermal ionization mass spectrometry analyses of matrix monazite and zircon, which fall on a discordia with lower and upper intercepts at 502 +/- 1 and 1686 +/- 2 Ma, respectively. Sm-Nd garnet dating yields an age of 1571 +/- 40 Ma and Rb-Sr biotite analyses give an age of 504 +/- 1 Ma. Integrated geochronological and petrological data provide evidence that rocks from Meade Nunatak underwent a polymetamorphic Barrovian-type metamorphism: (1) garnet 1 growth and subsequent diffusive garnet annealing between 1700 and 1570 Ma; (2) garnet 2 growth during the Ross Orogeny at c. 500 Ma. During the final orogenic event the rocks experienced peak P-T conditions of about 650degreesC/7.0 kbar and a retrograde stage at c. 575degreesC/4.0 kbar.</t>
  </si>
  <si>
    <t>Inst Mineral, D-97074 Wurzburg, Germany; NERC, Isotope Geosci Lab, British Antarctic Survey, Nottingham NG12 5GG, England</t>
  </si>
  <si>
    <t>University of Wurzburg; UK Research &amp; Innovation (UKRI); Natural Environment Research Council (NERC); NERC British Geological Survey; NERC British Antarctic Survey</t>
  </si>
  <si>
    <t>Zeh, A (corresponding author), Inst Mineral, D-97074 Wurzburg, Germany.</t>
  </si>
  <si>
    <t>armin.zeh@mail.uni-wuerzburg.de</t>
  </si>
  <si>
    <t>Zeh, Armin/AAS-7028-2020; Millar, Ian L/F-1541-2010</t>
  </si>
  <si>
    <t>Zeh, Armin/0000-0001-5599-7897</t>
  </si>
  <si>
    <t>10.1093/petrology/egg117</t>
  </si>
  <si>
    <t>813HG</t>
  </si>
  <si>
    <t>WOS:000220897600003</t>
  </si>
  <si>
    <t>Donners, J; Drijfhout, SS</t>
  </si>
  <si>
    <t>The Lagrangian view of South Atlantic Interocean exchange in a global ocean model compared with inverse model results</t>
  </si>
  <si>
    <t>EQUATORIAL UNDERCURRENT; WATER MASSES; CIRCULATION; VARIABILITY; THERMOCLINE</t>
  </si>
  <si>
    <t>Data from a global ocean general circulation model (OCCAM) has been used to investigate the interocean exchange of thermocline and intermediate waters in the South Atlantic Ocean. To resolve the pathways between different ocean basins a Lagrangian particle following technique has been used. The results have been compared with various inverse models and observational studies addressing the interocean exchange in the South Atlantic Ocean. To facilitate the comparison, section-integrated transports in the same density classes and at the same locations as used in the observational studies have been calculated for OCCAM. The flow toward the North Atlantic excluding the Antarctic Bottom Water, is made up for more than 50% of thermocline water. The exact ratio of thermocline to intermediate transport depends on the definition of the water masses. Transport of intermediate water plays a less important role. More than 90% of the flow toward the North Atlantic originates from the Indian Ocean via leakage from the Agulhas Current system. Agulhas leakage into the South Atlantic occurs to 2000-m depth, but transport below 1200 m recirculates within the subtropical gyre and flows back into the Indian Ocean. Several observational studies have indicated a dominant role in the transport toward the North Atlantic for intermediate water or for the direct inflow from Drake Passage. The section-averaged water mass transports in OCCAM are largely in agreement with these observational estimates. Also in OCCAM, the section-integrated transports suggest a minor contribution from Agulhas leakage to the upper branch of interocean exchange in the South Atlantic, in apparent contradiction with the Lagrangian path that was calculated explicitly. The reason for this discrepancy is that at the eastern side of the South Atlantic the net mass flux consists of opposing, and in the thermocline layer nearly compensating, east- and westward flows. In the thermocline layer, part of the westward flow connects with the cross-equatorial flow in the Atlantic, while the eastward flow is partly derived from upwelled intermediate and thermocline water that originates from Drake Passage. The detailed Lagrangian analysis suggests that it is arguable to draw conclusions about the flow pathways from integrated mass fluxes across ocean sections, especially when these contain opposing flows in the same density classes.</t>
  </si>
  <si>
    <t>Royal Netherlands Meteorol Inst, NL-3730 AE De Bilt, Netherlands</t>
  </si>
  <si>
    <t>Royal Netherlands Meteorological Institute</t>
  </si>
  <si>
    <t>Royal Netherlands Meteorol Inst, POB 201, NL-3730 AE De Bilt, Netherlands.</t>
  </si>
  <si>
    <t>donners@knmi.nl</t>
  </si>
  <si>
    <t>Drijfhout, Sybren/I-4230-2016</t>
  </si>
  <si>
    <t>Drijfhout, Sybren/0000-0001-5325-7350</t>
  </si>
  <si>
    <t>10.1175/1520-0485(2004)034&lt;1019:TLVOSA&gt;2.0.CO;2</t>
  </si>
  <si>
    <t>823JG</t>
  </si>
  <si>
    <t>WOS:000221606700003</t>
  </si>
  <si>
    <t>Sijp, WP; England, MH</t>
  </si>
  <si>
    <t>Effect of the Drake Passage throughflow on global climate</t>
  </si>
  <si>
    <t>GENERAL-CIRCULATION MODELS; SCALE WATER MASSES; OCEAN MODEL; THERMOHALINE CIRCULATION; FRESH-WATER; WORLD OCEAN; TRANSPORT</t>
  </si>
  <si>
    <t>The role of the Southern Ocean in global climate is examined using three simulations with a coupled model employing geometries different only at the location of Drake Passage (DP). The results of three main experiments are examined: 1) a simulation with DP closed, 2) an experiment with DP at a shallow ( 690 m) depth, and 3) a realistic DP experiment. The climate with DP closed is characterized by warmer Southern Hemisphere surface air temperature (SAT), little Antarctic ice, and no North Atlantic Deep Water (NADW) overturn. On opening the DP to a shallow depth of 690 m there is an increase in Antarctic sea ice and a cooling of the Southern Hemisphere but still no North Atlantic overturn. On fully opening the DP, the climate is mostly similar in the Southern Hemisphere to DP at 690 m, but the model now simulates NADW formation and a warming in the Northern Hemisphere. This suggests the North Atlantic thermohaline circulation depends not only on the existence of a DP throughflow, but also on the depth of the sills in the Southern Ocean. The closed DP experiment exhibits a large amount of deep-water formation [57 Sv (Sv = 10(6) m(3) s(-1))] in the Southern Hemisphere; this reduces to 39 Sv for the shallow DP case and 14 Sv when DP is at 2316 m, its modern-day depth. NADW formation is shut down in both DP closed and shallow experiments, which accounts for the warming in the Northern Hemisphere observed when the DP is opened. SAT differences between the DP open and closed climate are seasonal. The largest SAT changes occur during winter in areas of large sea ice change. However, summer conditions are still significantly warmer when DP is closed (regionally up to 4degreesC). Summer SAT is the most important factor determining whether an Antarctic ice sheet can build up. Therefore our study does not exclude the possibility that changes in ocean gateways may have contributed to the glaciation of Antarctica. Overall, these experimental results support paleoclimatic evidence of rapid cooling of the Southern Ocean region soon after the isolation of Antarctica.</t>
  </si>
  <si>
    <t>Sijp, WP (corresponding author), Univ New S Wales, Sch Math, Ctr Environm Modelling &amp; Predict, Sydney, NSW 2052, Australia.</t>
  </si>
  <si>
    <t>wsijp@maths.unsw.edu.au</t>
  </si>
  <si>
    <t>Sijp, Willem P/E-5988-2012; England, Matthew/A-7539-2011</t>
  </si>
  <si>
    <t>England, Matthew/0000-0001-9696-2930; Sijp, Willem/0000-0002-5971-3860</t>
  </si>
  <si>
    <t>10.1175/1520-0485(2004)034&lt;1254:EOTDPT&gt;2.0.CO;2</t>
  </si>
  <si>
    <t>WOS:000221606700016</t>
  </si>
  <si>
    <t>Wang, W; Huang, RX</t>
  </si>
  <si>
    <t>Wind energy input to the surface waves</t>
  </si>
  <si>
    <t>INERTIAL MOTIONS; DISSIPATION; OCEAN; TURBULENCE; LAYER; WORK</t>
  </si>
  <si>
    <t>Wind energy input into the ocean is primarily produced through surface waves. The total rate of this energy source, integrated over the World Ocean, is estimated at 60 TW, based on empirical formulas and results from a numerical model of surface waves. Thus, surface wave energy input is about 50 times the energy input to the surface geostrophic current and 20 times the total tidal dissipation rate. Most of the energy input is concentrated within the Antarctic Circumpolar Current.</t>
  </si>
  <si>
    <t>Woods Hole Oceanog Inst, Dept Phys Oceanog, Woods Hole, MA 02543 USA; Ocean Univ China, Phys Oceanog Lab, Shandong, Peoples R China</t>
  </si>
  <si>
    <t>Woods Hole Oceanographic Institution; Ocean University of China</t>
  </si>
  <si>
    <t>Woods Hole Oceanog Inst, Dept Phys Oceanog, Woods Hole, MA 02543 USA.</t>
  </si>
  <si>
    <t>rhuang@whoi.edu</t>
  </si>
  <si>
    <t>huang, rui/JYP-3898-2024</t>
  </si>
  <si>
    <t>10.1175/1520-0485(2004)034&lt;1276:WEITTS&gt;2.0.CO;2</t>
  </si>
  <si>
    <t>WOS:000221606700018</t>
  </si>
  <si>
    <t>Duda, TF</t>
  </si>
  <si>
    <t>Finescale shear at 1660 and 2850 dbar over the Mid-Atlantic Ridge in the Eastern Brazil Basin</t>
  </si>
  <si>
    <t>NEUTRALLY BUOYANT FLOAT; ANTARCTIC BOTTOM WATER; TURBULENT DISSIPATION; NORTH-ATLANTIC; DEEP-OCEAN; ROUGH TOPOGRAPHY; ABYSSAL OCEAN; THERMOCLINE; CONVERSION; STRAIN</t>
  </si>
  <si>
    <t>Two drifting Shearmeter instruments have provided records of the magnitude of shear ( the magnitude of the vertical derivative of horizontal velocity), measured over a 10-m aperture, in the vicinity of the Brazil Basin Tracer Release Experiment. The floats drifted at roughly 1660 and 2850 dbar, where the buoyancy frequencies were N = 1.1 and 0.5 cph, respectively. Two additional floats provided deep trajectories but no shear data. The records of hourly mean values of shear magnitude (with mean values denoted S(h)) exhibit strong temporal variability, with time scales comparable to those of fortnightly tidal modulation. The deep record exhibits stronger mean S(h) near the seafloor than above, with the exception of the bin closest to the seafloor; S(h) from neither float correlates strictly with tidal forcing. Shallow S(h) varies in apparent response to atmospheric forcing. The mean squared shear of the shallow record is 4 times the N-dependent value associated with the Garrett-Munk spectral model, and that of the deep record is 6.4 times the comparable model value. The enhancement of S(h) within 1000 m of the bottom suggests a bottom source for internal waves. A moderate correlation between tides and S(h) for this small dataset provides an estimate of the relative importance of tidal versus subtidal forcing of such bottom-generated waves, although the data are limited.</t>
  </si>
  <si>
    <t>Woods Hole Oceanog Inst, Dept Appl Ocean Phys &amp; Engn, Woods Hole, MA 02543 USA</t>
  </si>
  <si>
    <t>Duda, TF (corresponding author), Woods Hole Oceanog Inst, Dept Appl Ocean Phys &amp; Engn, MS 11, Woods Hole, MA 02543 USA.</t>
  </si>
  <si>
    <t>tduda@whoi.edu</t>
  </si>
  <si>
    <t>Duda, Timothy/A-7282-2010</t>
  </si>
  <si>
    <t>Duda, Timothy/0000-0002-5797-5955</t>
  </si>
  <si>
    <t>10.1175/1520-0485(2004)034&lt;1281:FSAADO&gt;2.0.CO;2</t>
  </si>
  <si>
    <t>WOS:000221606700019</t>
  </si>
  <si>
    <t>Mohtadi, M; Romero, OE; Hebbeln, D</t>
  </si>
  <si>
    <t>Changing marine productivity off northern Chile during the past 19 000 years: a multivariable approach</t>
  </si>
  <si>
    <t>Peru-Chile Current; palaeoproductivity; upwelling; South Pacific; Holocene</t>
  </si>
  <si>
    <t>EL-NINO; PLANKTONIC-FORAMINIFERA; SOUTHERN WESTERLIES; ATACAMA DESERT; PACIFIC-OCEAN; NORTE CHICO; HOLOCENE; RECORD; PERU; CLIMATE</t>
  </si>
  <si>
    <t>A multivariable approach utilising bulk sediment, planktonic Foraminifera and siliceous phytoplankton has been used to reconstruct rapid variations in palaeoproductivity in the Peru-Chile Current System off northern Chile for the past 19 000 cal. yr. During the early deglaciation (19 000-16 000 cal. yr BP), our data point to strongest upwelling intensity and highest productivity of the past 19 000 cal. yr. The late deglaciation (16 000-13 000 cal. yr BP) is characterised by a Mal. or change in the oceanographic setting, warmer water masses and weaker upwelling at the study site. Lowest productivity and weakest upwelling intensity are observed from the early to the middle Holocene (13 000-4000 cal. yr BP), and the beginning of the late Holocene (&lt;4000 cal. yr BP) is marked by increasing productivity, mainly driven by silicate-producing organisms. Changes in the productivity and upwelling intensity in our record may have resulted from a large-scale compression and/or displacement of the South Pacific subtropical gyre during more productive periods, in line with a northward extension of the Antarctic Circumpolar Current and increased advection of Antarctic water masses with the Peru-Chile Current. The corresponding increase in hemispheric thermal gradient and wind stress induced stronger upwelling. During the periods of lower productivity, this scenario probably reversed. Copyright (C) 2004 John Wiley Sons, Ltd.</t>
  </si>
  <si>
    <t>Univ Bremen, Dept Geosci, POB 330440, D-28334 Bremen, Germany.</t>
  </si>
  <si>
    <t>10.1002/jqs.832</t>
  </si>
  <si>
    <t>833XI</t>
  </si>
  <si>
    <t>WOS:000222374200003</t>
  </si>
  <si>
    <t>Verleyen, E; Hodgson, DA; Sabbe, K; Vyverman, W</t>
  </si>
  <si>
    <t>Late Quaternary deglaciation and climate history of the Larsemann Hills (East Antarctica)</t>
  </si>
  <si>
    <t>palaeolimnology; Antarctica; deglaciation; early Holocene warm period; Hypsithermal; Neoglacial cooling</t>
  </si>
  <si>
    <t>HOLOCENE ENVIRONMENTAL-CHANGES; SOUTHERN WINDMILL ISLANDS; LAST GLACIAL MAXIMUM; VESTFOLD HILLS; ICE-CORE; DIATOM ASSEMBLAGES; SALINE LAKES; BUNGER HILLS; PRYDZ BAY; RAUER ISLANDS</t>
  </si>
  <si>
    <t>The Late Quaternary climate history of the Larsemann Hills has been reconstructed using siliceous microfossils (diatoms, chrysophytes and silicoflagellates) in sediment cores extracted from three isolation lakes. Results show that the western peninsula, Stornes, and offshore islands were ice-covered between 30 000 yr BP and 13 500 cal. yr BP. From 13 500 cal. yr BP (shortly after the Antarctic Cold Reversal) the coastal lakes of the Larsemann Hills were deglaciated and biogenic sedimentation commenced. Between 13 500 and 11 500 cal. yr BP conditions were warmer and wetter than during the preceding glacial period, but still colder than today. From 11 500 to 9500 cal. yr BP there is evidence for wet and warm conditions, which probably is related to the early Holocene climate optimum, recorded in Antarctic ice cores. Between 9500 and 7400 cal. yr BP dry and cold conditions are inferred from high lake-water salinities, and low water levels and an extended duration of nearshore sea-ice. A second climate optimum occurred between 7400 and 5230 cal. yr BP when stratified, open water conditions during spring and summer characterised the marine coast of Prydz Bay. From 5230 until 2750 cal. yr BP sea-ice duration in Prydz Bay increased, with conditions similar to the present day. A short return to stratified, open water conditions and a reduction in nearshore winter sea-ice extent is evident between 2750 and 2200 cal. yr BP. Simultaneously, reconstructions of lake water depth and salinity suggests relatively humid and warm conditions on land between 3000 and 2000 cal. yr BP, which corresponds to a Holocene Hypsithermal reported elsewhere in Antarctica. Finally, dry conditions are recorded around 2000, between 760 and 690, and between 280 and 140 cal. yr BP. These data are consistent with ice-core records from Antarctica and support the hypothesis that lacustrine and marine sediments on land can be used to evaluate the effect of long-term climate change on the terrestrial environment. Copyright (C) 2004 John Wiley Sons, Ltd.</t>
  </si>
  <si>
    <t>Univ Ghent, Lab Protistol &amp; Aquat Ecol, B-9000 Ghent, Belgium; British Antarctic Survey, NERC, Cambridge CB3 0ET, England</t>
  </si>
  <si>
    <t>Ghent University; UK Research &amp; Innovation (UKRI); Natural Environment Research Council (NERC); NERC British Antarctic Survey</t>
  </si>
  <si>
    <t>Univ Ghent, Lab Protistol &amp; Aquat Ecol, Krijgslaan 281-S8, B-9000 Ghent, Belgium.</t>
  </si>
  <si>
    <t>Dasseville, Renaat/B-3561-2010</t>
  </si>
  <si>
    <t>10.1002/jqs.823</t>
  </si>
  <si>
    <t>WOS:000222374200004</t>
  </si>
  <si>
    <t>Evans, J; Dowdeswell, JA; O Cofaigh, C</t>
  </si>
  <si>
    <t>Late Quaternary submarine bedforms and ice-sheet flow in Gerlache Strait and on the adjacent continental shelf, Antarctic Peninsula</t>
  </si>
  <si>
    <t>Antarctic Peninsula Ice Sheet; subglacial bedforms; ice-flow pattern; onset zone; palaeo-ice stream</t>
  </si>
  <si>
    <t>LAST GLACIAL MAXIMUM; RETREAT; SEA; SEDIMENTATION; STREAMS; SYSTEM</t>
  </si>
  <si>
    <t>Geophysical data from Gerlache Strait, Croker Passage, Bismarck Strait and the adjacent continental shelf reveal streamlined subglacial bedforms that were produced at the bed of the Antarctic Peninsula Ice Sheet (APIS) during the last glaciation. The spatial arrangement and orientation of these bedforms record the former drainage pattern and flow dynamics of an APIS outlet up-flow, and feeding into, a palaeo-ice stream in the Western Bransfield Basin. Evidence suggests that together, they represent a single ice-flow system that drained the APIS during the last glaciation. The ice-sheet outlet flowed north/northeastwards through Gerlache Strait and Croker Passage and converged with a second, more easterly ice-flow tributary on the middle shelf to form the main palaeo-ice stream. The dominance of drumlins with low elongation ratios suggests that ice-sheet outlet draining through Gerlache Strait was comparatively slower than the main palaeo-ice stream in the Western Bransfield Basin, although the low elongation ratios may also partly reflect the lack of sediment. Progressive elongation of drumlins further down-flow indicates that the ice sheet accelerated through Croker Passage and the western tributary trough, and fed into the main zone of streaming flow in the Western Bransfield Basin. Topography Would have exerted a strong control on the development of the palaeo-ice stream system but subglacial geology may also have been significant given the transition from crystalline bedrock to sedimentary strata on the inner-mid-shelf. In the broader context, the APIS was drained by a number of major fast-flowing outlets through cross-shelf troughs to the outer continental shelf during the last glaciation. Copyright (C) 2004 John Wiley Sons, Ltd.</t>
  </si>
  <si>
    <t>Univ Cambridge, Scott Polar Res Inst, Lensfield Rd, Cambridge CB2 1ER, England.</t>
  </si>
  <si>
    <t>je10007@cam.ac.uk</t>
  </si>
  <si>
    <t>Ó Cofaigh, Colm/D-9131-2012; Evans, Jeffrey/F-5548-2010</t>
  </si>
  <si>
    <t>10.1002/jqs.831</t>
  </si>
  <si>
    <t>WOS:000222374200006</t>
  </si>
  <si>
    <t>Rogers, M</t>
  </si>
  <si>
    <t>The worst journey in the world: Antarctic 1910-13</t>
  </si>
  <si>
    <t>837VL</t>
  </si>
  <si>
    <t>WOS:000222669000235</t>
  </si>
  <si>
    <t>Ott, S; Brinkmann, M; Wirtz, N; Lumbsch, HT</t>
  </si>
  <si>
    <t>Mitochondrial and nuclear ribosomal DNA data do not support the separation of the Antarctic lichens Umbilicaria kappenii and Umbilicaria antarctica as distinct species</t>
  </si>
  <si>
    <t>Antarctica; Bayesian statistics; combined analysis; lichens; species concept; Umbilicaria</t>
  </si>
  <si>
    <t>GENUS UMBILICARIA; PHYLOGENETIC-RELATIONSHIPS; BAYESIAN-INFERENCE; BETA-TUBULIN; PAIR CONCEPT; SEQUENCES; ARTHONIALES; RDNA; AMPLIFICATION; EVOLUTIONARY</t>
  </si>
  <si>
    <t>The Antarctic endemics Umbilicaria kappenii and U. antarctica are morphologically close, but mainly distinguished by their reproductive strategies. Umbilicaria antarctica propagates by means of thalloconidia. Umbilicaria kappenii lacks thalloconidia, but exhibits a variety of asexual propagules: soredia, adventive lobes and thallyles. We have now employed molecular data from three gene regions to examine the phylogenetic relationships of these two morphotypes. The phylogeny often samples and four outgroup taxa (Umbilicaria decussata, U. krascheninnikovii, U. nylanderiana, U. umbilicaiioides) was reconstructed using Bayesian and maximum parsimony analyses of a combined data set of nuclear ITS, nuclear LSU rDNA and mitochondrial LSU rDNA sequences. Forty two new partial sequences of 14 specimens were generated. Our results indicate that all samples morphologically referred to U. antarctica and U. kappenii form a monophyletic group. A topology separating the two morphotypes as phylogenetic species is significantly rejected with the data set. It is proposed to place U. kappenii into synonymy with U. antarctica.</t>
  </si>
  <si>
    <t>Field Museum Nat Hist, Dept Bot, 1400 S Lake Shore Dr, Chicago, IL 60605 USA; Sekt Kryptogramen, Abt Bot Palaeobot, Forschungsinst Senckenberg, D-60325 Frankfurt, Germany</t>
  </si>
  <si>
    <t>Field Museum of Natural History (Chicago); Senckenberg Gesellschaft fur Naturforschung (SGN)</t>
  </si>
  <si>
    <t>Field Museum Nat Hist, Dept Bot, 1400 S Lake Shore Dr, Chicago, IL 60605 USA.</t>
  </si>
  <si>
    <t>Lumbsch, Thorsten/K-3573-2012</t>
  </si>
  <si>
    <t>MAY-JUL</t>
  </si>
  <si>
    <t>10.1017/S0024282904014306</t>
  </si>
  <si>
    <t>842HZ</t>
  </si>
  <si>
    <t>WOS:000222995700009</t>
  </si>
  <si>
    <t>Swadling, KM; McKinnon, AD; De'ath, G; Gibson, JAE</t>
  </si>
  <si>
    <t>Life cycle plasticity and differential growth and development in marine and lacustrine populations of an Antarctic copepod</t>
  </si>
  <si>
    <t>PARALABIDOCERA-ANTARCTICA; SEA-ICE; THOMPSON COPEPODA; SYOWA STATION; CALANOIDA; TEMPERATURE; DYNAMICS; STRATEGY; ECOLOGY; HISTORY</t>
  </si>
  <si>
    <t>We examined life cycle plasticity in two populations of the copepod Paralabidocera antarctica, one of which inhabits the coastal sea ice belt of Antarctica and the other of which has been isolated in a nearby saline lake for several thousand generations. Similarities in the life cycles of the two populations included long overwintering phases (&gt;5 months) by late-stage nauplii, rapid development through the copepodid stages, and a short adult life span of 2-3 weeks. Adults appeared in late spring or early summer and spawned and died soon after. However, the life cycle of the lacustrine population was much less tightly regulated than at the marine site; animals were rarely found living within the lake ice, and synchrony in the developmental cycle was diminished. It is likely that a combination of factors, including ice hardness, a lack of predation threat, and a consistent food supply has freed the lacustrine population from the constraints imposed by living within the ice cover. Instantaneous growth rates calculated for the marine site showed a variable growth rate (0.04-0.14 d(-1)). The lacustrine population in general had faster growth rates than the marine population (0.10-0.26 d(-1)) and reached maturity at a smaller size. This is attributed, in part, to the higher environmental temperatures experienced by the lacustrine population.</t>
  </si>
  <si>
    <t>Univ Tasmania, Sch Zool, Hobart, Tas 7001, Australia; Univ Tasmania, IASOS, Hobart, Tas 7001, Australia; Australian Inst Marine Sci, Townsville, Qld 4810, Australia</t>
  </si>
  <si>
    <t>University of Tasmania; University of Tasmania; Australian Institute of Marine Science</t>
  </si>
  <si>
    <t>Univ Tasmania, Sch Zool, Private Bag 5, Hobart, Tas 7001, Australia.</t>
  </si>
  <si>
    <t>k.swadling@utas.edu.au</t>
  </si>
  <si>
    <t>Swadling, Kerrie/0000-0002-7620-841X</t>
  </si>
  <si>
    <t>10.4319/lo.2004.49.3.0644</t>
  </si>
  <si>
    <t>869JQ</t>
  </si>
  <si>
    <t>WOS:000224979600003</t>
  </si>
  <si>
    <t>Raguá-Gil, JM; Gutt, J; Clarke, A; Arntz, WE</t>
  </si>
  <si>
    <t>Antarctic shallow-water mega-epibenthos:: shaped by circumpolar dispersion or local conditions?</t>
  </si>
  <si>
    <t>WEDDELL SEA; BENTHIC INVERTEBRATES; SOUTHERN-OCEAN; SHELF; DEEP; REPRODUCTION; EVOLUTIONARY; COMMUNITIES; CRUSTACEA; ABUNDANCE</t>
  </si>
  <si>
    <t>The mega-epibenthos of two different geographic areas, the Antarctic Peninsula and the high Antarctic (eastern Weddell Sea), were investigated using underwater video. The distribution of the marine fauna at shallow depths between 55 and 160 m in these two areas was investigated to determine whether there are any zoogeographic differences at the community level. A total of 237 taxa represented by 85,538 individuals was identified. Multivariate analyses revealed significant faunal differences between northern Marguerite Bay (western Antarctic Peninsula) and the stations from the Weddell Sea, Atka Bay and Four-Seasons Bank. Echinoderms, especially ophiuroids, dominated Marguerite Bay, bryozoans and ascidians were abundant at Atka Bay, and hydroids and gorgonians were well represented at Four-Seasons Bank. These clear differences can mainly be explained by the influence of local environmental conditions that are probably the primary feature responsible in shaping the Antarctic shallow-water epifauna and not an intensive exchange with larger depths or a limited dispersion due to scarce and isolated shallow areas. In addition, modes of reproduction and characteristics of the early life history (e.g. brooding, viviparity or budding) of key taxa may also shape patterns of species distribution in shallow benthic Antarctic communities.</t>
  </si>
  <si>
    <t>Alfred Wegener Inst Polar &amp; Marine Res, D-27568 Bremerhaven, Germany; British Antarctic Survey, Cambridge CB3 0ET, England</t>
  </si>
  <si>
    <t>jragua@awi-bremerhaven.de</t>
  </si>
  <si>
    <t>Gutt, Julian/0000-0003-3773-9370</t>
  </si>
  <si>
    <t>10.1007/s00227-003-1269-3</t>
  </si>
  <si>
    <t>816NF</t>
  </si>
  <si>
    <t>WOS:000221115900001</t>
  </si>
  <si>
    <t>Rawlinson, KA; Davenport, J; Barnes, DKA</t>
  </si>
  <si>
    <t>Vertical migration strategies with respect to advection and stratification in a semi-enclosed lough: a comparison of mero- and holozooplankton</t>
  </si>
  <si>
    <t>SEA LOUGH; ZOOPLANKTON; COPEPODS; DISTRIBUTIONS; CURRENTS; ECOLOGY; LARVAE; WATERS; NORVEGICA; ATLANTIC</t>
  </si>
  <si>
    <t>Patterns of zooplankton vertical movement are often difficult to interpret because of multiple, complex and confounding environmental factors. Behavioural adaptations to these environmental variables are compared within and between the holo- and meroplankton constituents of a community. We used a nested design to analyse patterns at several scales in time; (semi-diel, diel, spring-neap tidal cycle and season) and two in space; (depth and site). To reduce complexity and aid interpretation we studied a semi-isolated community in a semi-enclosed, seasonally stratified sea lough (Lough Hyne Marine Nature Reserve, Ireland). In this, the main environmental gradient was water flow rate (or water residence time) caused by tidal currents. Vertical profiles of abundance showed that populations of the most abundant species of holo- and meroplankton in the lough have considerable behavioural plasticity, enabling them to switch between sedentary and migratory behaviour and patterns of migration. Some species migrate vertically in synchrony with diel cycles and others in response to semi-diel tidal currents; a few do both, but the majority did neither. It is suggested that water column structure and hydrographic discontinuities caused by flow rate and pycnocline dynamics are responsible for the variable patterns of vertical migration and distribution.</t>
  </si>
  <si>
    <t>Natl Univ Ireland Univ Coll Cork, Dept Zool, Plant Sci &amp; Environm Res Inst, Cork, Ireland; British Antarctic Survey, NERC, Cambridge CB3 0ET, England</t>
  </si>
  <si>
    <t>Natl Univ Ireland Univ Coll Cork, Dept Zool, Plant Sci &amp; Environm Res Inst, Lee Maltings,Prospect Row, Cork, Ireland.</t>
  </si>
  <si>
    <t>k.rawlinson@mars.ucc.ie</t>
  </si>
  <si>
    <t>Rawlinson, Kate/0000-0001-8297-8405</t>
  </si>
  <si>
    <t>10.1007/s00227-003-1261-y</t>
  </si>
  <si>
    <t>WOS:000221115900010</t>
  </si>
  <si>
    <t>Howell, KL; Rogers, AD; Tyler, PA; Billett, DSM</t>
  </si>
  <si>
    <t>Reproductive isolation among morphotypes of the Atlantic seastar species Zoroaster fulgens (Asteroidea: Echinodermata)</t>
  </si>
  <si>
    <t>DEEP-SEA AMPHIPODS; GENETIC DIFFERENTIATION; BATHYMETRIC PATTERNS; EURYTHENES-GRYLLUS; HYDROTHERMAL VENT; POPULATIONS; DIVERGENCE; SEQUENCE; SPECIATION</t>
  </si>
  <si>
    <t>Zoroaster fulgens is a slope-dwelling seastar species that is distributed throughout the Atlantic Ocean. Studies into the population structure and systematics of marine animals have increasingly found that species with a reported cosmopolitan distribution are, in fact, collections of closely related cryptic or sibling species. In the Porcupine Seabight, three morphotypes of Z. fulgens can be found that have a distribution that is stratified by depth. This study investigates the genetic divergence between these morphotypes using sections of the cytochrome oxidase 1 (COI) and 16S regions of the mitochondrial genome. Bathymetrically separated morphotypes of Z. fulgens are reproductively isolated over distances of approximately 1 km while gene flow occurs among morphotypes, along isobaths, over distances of approximately 900 km. Reproductive isolation on the continental slope may have occurred as a result of selection exerted by gradients of depth-correlated physical factors, such as pressure and temperature. However, allopatric speciation with subsequent range expansion may also explain the observed patterns of genetic divergence. Further investigation of radiation within this group may provide important information on the evolution of slope species. Taxonomic revision of the genus is required.</t>
  </si>
  <si>
    <t>Southampton Oceanog Ctr, Southampton SO14 3ZH, Hants, England; British Antarctic Survey, Cambridge CB3 0ET, England</t>
  </si>
  <si>
    <t>University of Southampton; NERC National Oceanography Centre; UK Research &amp; Innovation (UKRI); Natural Environment Research Council (NERC); NERC British Antarctic Survey</t>
  </si>
  <si>
    <t>Southampton Oceanog Ctr, Empress Dock,European Way, Southampton SO14 3ZH, Hants, England.</t>
  </si>
  <si>
    <t>kez1@soc.soton.ac.uk</t>
  </si>
  <si>
    <t>Howell, Kerry L/H-5044-2013</t>
  </si>
  <si>
    <t>Rogers, Alex David/0000-0002-4864-2980; Howell, Kerry/0000-0003-3359-1778</t>
  </si>
  <si>
    <t>10.1007/s00227-003-1248-8</t>
  </si>
  <si>
    <t>WOS:000221115900015</t>
  </si>
  <si>
    <t>Machida, RJ; Miya, MU; Yamauchi, MM; Nishida, M; Nishida, S</t>
  </si>
  <si>
    <t>Organization of the mitochondrial genome of Antarctic krill Euphausia superba (Crustacea: Malacostraca)</t>
  </si>
  <si>
    <t>MARINE BIOTECHNOLOGY</t>
  </si>
  <si>
    <t>mitochondrial DNA; Crustacea; gene rearrangement; evolutionary rate; universal primer</t>
  </si>
  <si>
    <t>TRANSFER-RNA GENES; COMPLETE NUCLEOTIDE-SEQUENCE; DNA-SEQUENCE; ARTHROPOD PHYLOGENY; JAPONICUS CRUSTACEA; TANDEM DUPLICATION; EVOLUTION; REARRANGEMENTS; RELEVANCE; NEMATODES</t>
  </si>
  <si>
    <t>We determined the nearly complete DNA sequence of the mitochondrial genome of Antarctic krill Euphausia superba (Crustacea: Malacostraca), one of the most ecologically and commercially important zoo-plankters in Antarctic waters. All of the genome sequences were purified by gene amplification using long polymerase chain reaction (PCR), and the products were subsequently used as templates for either direct sequencing using a primer-walking strategy or nested PCR with crustacea-versatile primers. Although we were unable to determine a portion of the genome owing to technical difficulties, the sequenced position, 14,606 bp long, contained all of the 13 protein-coding genes, 19 of the 22 transfer RNA genes, and the large subunit as well as a portion of the small subunit ribosomal RNA genes. Gene rearrangement was observed for 3 transfer RNA genes (tRNA(,)(Cys) tRNA(Tyr), and tRNA(Trp)) and the 2 leucine tRNA genes.</t>
  </si>
  <si>
    <t>Univ Tokyo, Ocean Res Inst, Tokyo 1648639, Japan; Nat Hist Museum &amp; Inst, Chiba 2608682, Japan</t>
  </si>
  <si>
    <t>University of Tokyo</t>
  </si>
  <si>
    <t>Univ Tokyo, Ocean Res Inst, Tokyo 1648639, Japan.</t>
  </si>
  <si>
    <t>ryuji@ori.u-tokyo.ac.jp</t>
  </si>
  <si>
    <t>Miya, Masaki/O-2664-2019</t>
  </si>
  <si>
    <t>Miya, Masaki/0000-0002-9791-9886</t>
  </si>
  <si>
    <t>1436-2228</t>
  </si>
  <si>
    <t>1436-2236</t>
  </si>
  <si>
    <t>MAR BIOTECHNOL</t>
  </si>
  <si>
    <t>Mar. Biotechnol.</t>
  </si>
  <si>
    <t>10.1007/s10126-003-0016-6</t>
  </si>
  <si>
    <t>834WU</t>
  </si>
  <si>
    <t>WOS:000222442400006</t>
  </si>
  <si>
    <t>Quantifying spatial patterns of intertidal biodiversity: Is movement important?</t>
  </si>
  <si>
    <t>biodiversity; density; richness; rarity; mobility; Lough Hyne; ecosystem function</t>
  </si>
  <si>
    <t>DIVERSITY; ASSEMBLAGES; FAUNA; RICHNESS; SCALES; AREA</t>
  </si>
  <si>
    <t>Small-scale patterns of low-, mid- and high-shore intertidal species density, richness and abundance were systematically examined to assess the potential influence of 'mobility' on spatial community dynamics and diversity. Mobile taxa outnumbered sessile species by approximately 2:1, whereas sessile individuals were over 12 times as numerous as mobile ones over the entire study site. Patterns of density, richness and abundance differed with shore level and substratum. The results also highlighted the importance of clearly distinguishing between species density and species richness when examining spatially quantitative data. The rank order of habitats from highest to lowest species density was not the same when analysed in order of species richness. The potential for the mobile proportion of assemblages to influence small-scale diversity assessment through movement was greater at mid- and high-shore zones because the ratio of mobile species was higher and abundance (relative to the lower shore) was low. These observations might reflect the relative influence of the land-sea gradient of immersion on diversity and mobility in intertidal communities. The influence of mobile organisms on marine ecosystem function may be significant because small-scale patterns of movement are known to positively influence biodiversity. High richness paired with low abundance, however, may result in underestimating the functional role of mobile intertidal species.</t>
  </si>
  <si>
    <t>Natl Univ Ireland Univ Coll Cork, Dept Zool Ecol &amp; Plant Sci, Cork, Ireland; Univ Reading, Ctr Dev Teaching &amp; Learning, Reading RG6 6AH, Berks, England; British Antarctic Survey, Div Biol Sci, Cambridge CB3 0ET, England</t>
  </si>
  <si>
    <t>10.1111/j.1439-0485.2004.00015.x</t>
  </si>
  <si>
    <t>818FK</t>
  </si>
  <si>
    <t>WOS:000221230800002</t>
  </si>
  <si>
    <t>Pelletier, E; Delille, D; Delille, B</t>
  </si>
  <si>
    <t>Crude oil bioremediation in sub-Antarctic intertidal sediments: chemistry and toxicity of oiled residues</t>
  </si>
  <si>
    <t>crude oil; bioremediation; Antarctica; sediments; fertilizers; effectiveness; toxicity; hydrocarbon degrading bacteria; surfactants; dry fish compost</t>
  </si>
  <si>
    <t>EXXON-VALDEZ OIL; PRINCE-WILLIAM-SOUND; HYDROCARBON BIODEGRADATION; MARINE; PHENANTHRENE; SPILL</t>
  </si>
  <si>
    <t>The effectiveness of fertilizers for crude oil bioremediation in sub-Antarctic intertidal sediments was tested over a one-year period in a series of ten (10) experimental enclosures. Chemical, microbial and toxicological parameters demonstrated the effectiveness of various fertilizers in a pristine environment where hydrocarbon degrading bacteria (HDB) had not been stimulated by previous accidental spills or human activities. The low temperature of seawater (3-4 degreesC) had no obvious effects on the HDB community and the bioremediation process. Over 90% of n-alkanes were degraded in the first six months and most light aromatics (2-3 rings) disappeared during the first year of observation. The toxicity of oiled residues (Microtox(R) SP) was significantly reduced in the first 6 months of the process, but it increased again in the last months of the experiment. One of the fertilizers containing fishbone compost enriched with urea, inorganic phosphorus and a lipidic surfactant reduced significantly the toxicity of oil residues in the last 3 months of the experiment. Interstitial waters collected below the oil slicks during the remediation showed no toxicity, and even stimulated Vibrio fischeri. When comparing all fertilizers to the control plots, a good correlation (r(2) = 0.82) was found between the growth rate of HDB and the degradation rate of n-alkanes in the first 90 days of the experiment only indicating that fertilizers were efficient for at least 3 months but their beneficial effects were lost after 6 months. (C) 2003 Elsevier Ltd. All rights reserved.</t>
  </si>
  <si>
    <t>Univ Quebec, Inst Sci Mer Rimouski, ISMER, Rimouski, PQ G5L 3A1, Canada; Univ Paris 06, CNRS, UMR 7621, Lab Arago, F-66650 Banyuls sur Mer, France; Univ Liege, Unite Oceanog Chim, Inst Phys, B-4000 Sart Tilman Par Liege, Belgium</t>
  </si>
  <si>
    <t>University of Quebec; Sorbonne Universite; Centre National de la Recherche Scientifique (CNRS); CNRS - National Institute for Earth Sciences &amp; Astronomy (INSU); University of Liege</t>
  </si>
  <si>
    <t>Daniel, Delille/S-9542-2019; Delille, Bruno/C-3486-2008</t>
  </si>
  <si>
    <t>Delille, Bruno/0000-0003-0502-8101</t>
  </si>
  <si>
    <t>10.1016/j.marenvres.2003.07.001</t>
  </si>
  <si>
    <t>771TB</t>
  </si>
  <si>
    <t>WOS:000188801200005</t>
  </si>
  <si>
    <t>Hsu, WB; Guan, YB; Wang, HN; Leshin, LA; Wang, RC; Zhang, WL; Chen, XM; Zhang, FS; Lin, CY</t>
  </si>
  <si>
    <t>The lherzolitic shergottite Grove Mountains 99027: Rare earth element geochemistry</t>
  </si>
  <si>
    <t>ND ISOTOPIC SYSTEMATICS; MARTIAN METEORITES; LEW88516; PETROGENESIS; PETROGRAPHY; CHEMISTRY; MINERALS; MARS; SR</t>
  </si>
  <si>
    <t>We report here on an ion probe study of rare earth element (REE) geochemistry in the Iherzolitic shergottite Grove Mountains (GRV) 99027. This meteorite shows almost identical mineralogy, petrology, and REE geochemistry to those of the Iherzolitic shergottites Allan Hills (ALH) A77005, Lewis Cliff (LEW) 88516, and Yamato (Y-) 793605. REE concentrations in olivine, pyroxenes, maskelynite, merrillite, and melt glass are basically comparable to previous data obtained from ALH A77005, LEW 88516, and Y-793605. Olivine is the dominant phase in this meteorite. It is commonly enclosed by large (up to several mm) pigeonite oikocrysts. Non-poikilitic areas consist of larger olivine grains (similar tomm), pigeonite, augite, and maskelynite. Minor merrillite (up to 150 mum in size) is widespread in non-poikilitic regions, occurring interstitially between olivine and pyroxene grains. It is the main REE carrier in GRV 99027 and has relatively higher REEs (200-1000 x CI) than that of other lherzolitic shergottites. A REE budget calculation for GRV 99027 yields a whole rock REE pattern very similar to that of other lherzolites. It is characterized by the distinctive light REE depletion and a smooth increase from light REEs to heavy REEs. REE microdistributions in GRV 99027 strongly support the idea that all lherzolitic shergottites formed by identical igneous processes, probably from the same magma chamber on Mars. Despite many similarities in mineralogy, petrography, and trace element geochemistry, subtle differences exist between GRV 99027 and other lherzolitic shergottites. GRV 99027 has relatively uniform mineral compositions (both major elements and REEs), implying that it suffered a higher degree of sub-solidus equilibration than the other three lherzolites. It is notable that GRV 99027 has experienced terrestrial weathering in the Antarctic environment, as its olivine and pyroxenes commonly display a light REE enrichment and a negative Cc anomaly. Caution needs to be taken in future chronological studies.</t>
  </si>
  <si>
    <t>Chinese Acad Sci, Lab Astrochem &amp; Planetary Sci, Purple Mtn Observ, Nanjing 210008, Peoples R China; Arizona State Univ, Dept Geol Sci, Tempe, AZ 85287 USA; Nanjing Univ, Dept Earth Sci, Key State Lab Res Min Deposits, Nanjing 210093, Peoples R China; Arizona State Univ, Ctr Meteorite Studies, Tempe, AZ 85287 USA; Nanjing Univ, Ctr Mat Anal, Nanjing 210093, Peoples R China</t>
  </si>
  <si>
    <t>Purple Mountain Observatory, CAS; Chinese Academy of Sciences; Arizona State University; Arizona State University-Tempe; Nanjing University; Arizona State University; Arizona State University-Tempe; Nanjing University</t>
  </si>
  <si>
    <t>Chinese Acad Sci, Lab Astrochem &amp; Planetary Sci, Purple Mtn Observ, 2 W Beijing Rd, Nanjing 210008, Peoples R China.</t>
  </si>
  <si>
    <t>wbxu@pmo.ac.cn</t>
  </si>
  <si>
    <t>10.1111/j.1945-5100.2004.tb00113.x</t>
  </si>
  <si>
    <t>823BH</t>
  </si>
  <si>
    <t>WOS:000221584200005</t>
  </si>
  <si>
    <t>Sephton, MA; Bland, PA; Pillinger, CT; Gilmour, I</t>
  </si>
  <si>
    <t>The preservation state of organic matter in meteorites from Antarctica</t>
  </si>
  <si>
    <t>HOT</t>
  </si>
  <si>
    <t>The recovery of large numbers of meteorites from Antarctica has dramatically increased the amount of extraterrestrial material available for laboratory studies of solar system origin and evolution. Yet, the great age of Antarctic meteorites raises the concern that significant amounts of terrestrial weathering has corrupted their pre-terrestrial record. Organic matter found in carbonaceous chondrites is one of the components most susceptible to alteration by terrestrial processes. To assess the effects of Antarctic weathering on both non-Antarctic and Antarctic chondritic organic matter, a number of CM chondrites have been analyzed. Mossbauer spectroscopy has been used to ascertain pre-terrestrial and terrestrial oxidation levels, while pyrolysis-gas chromatography-mass spectrometry was used to determine the constitution of any organic matter present. Increased oxidation levels for iron bearing minerals within the non-Antarctic chondrites are likely to be a response to increased amounts of parent body aqueous alteration. Parent body processing also appears to remove ether bonds from organic material and alkyl side chains from its constituent units. The iron in Antarctic chondrites is generally more oxidized than that in their non-Antarctic counterparts, reflecting terrestrial weathering. Antarctic weathering of chondritic organic matter appears to proceed in a similar way to parent body aqueous alteration and simply enhances the organic responses observed in the non-Antarctic data set. Degradation of the record of preterrestrial processes in Antarctic chondrites should be taken into account when interpreting data from these meteorites.</t>
  </si>
  <si>
    <t>Open Univ, Planetary &amp; Space Sci Res Inst, Milton Keynes MK7 6AA, Bucks, England; Univ London Imperial Coll Sci Technol &amp; Med, Dept Earth Sci &amp; Engn, Royal Sch Mines, London SW7 2AZ, England</t>
  </si>
  <si>
    <t>Open University - UK; Imperial College London</t>
  </si>
  <si>
    <t>Open Univ, Planetary &amp; Space Sci Res Inst, Milton Keynes MK7 6AA, Bucks, England.</t>
  </si>
  <si>
    <t>m.a.sephton@open.ac.uk</t>
  </si>
  <si>
    <t>; Bland, Phil/M-9392-2018</t>
  </si>
  <si>
    <t>Gilmour, Iain/0000-0002-2860-9489; Bland, Phil/0000-0002-4681-7898; Sephton, Mark/0000-0002-2190-5402</t>
  </si>
  <si>
    <t>10.1111/j.1945-5100.2004.tb00116.x</t>
  </si>
  <si>
    <t>WOS:000221584200008</t>
  </si>
  <si>
    <t>Biostimulation of natural microbial assemblages in oil-amended vegetated and desert sub-antarctic soils</t>
  </si>
  <si>
    <t>EXXON-VALDEZ OIL; CRUDE-OIL; CONTAMINATED SOIL; DIESEL-OIL; VESTFOLD HILLS; ALPINE SOILS; BIOREMEDIATION; HYDROCARBONS; MICROORGANISMS; DEGRADATION</t>
  </si>
  <si>
    <t>A field study was initiated in December 2000 in two selected soils of The Grande Terre (Kerguelen Archipelago) with the objective of determining the long-term effects of fertilizer addition on the biodegradation rate and the toxicity of oil residues under severe sub-Antarctic conditions. Two soils were selected. The first site supports an abundant vegetal cover; the second one was desert soil, devoid of plant material. These two soils were located in the vicinity of the permanent station of Port-aux-Francais (69degrees 42'E; 49degrees 19'S). A series of five experimental plots (0.75 x 0.75 in) were settled firmly into each of the studied soils. Each plot received 500 mL of diesel or Arabian light crude oil, and some of them were treated with a bioremediation agent: slow-release fertilizer Inipol EAP-22 (Elf Atochem). All the plots were sampled on a regular basis over a 1 year period. Heterotrophic and hydrocarbon-degrading microorganisms increased by two orders of magnitude during the first month of the experimentation in all treated enclosures, but differences appeared between the different plots. The microbial response was improved by bioremediation treatments. However, fertilizer addition had a greater impact on the desert soil when compared to the vegetated one. All chemical indices show a reduction of alkanes and light aromatics. Toxicity results show a high variability between treatments and environmental conditions. As a conclusion, it is clear that the microbial response was rapid and efficient in spite of the severe weather conditions, and the rate of degradation was improved by bioremediation treatments. However, after 1 year of treatment, the signal of a relatively high toxicity of oiled residues remained present in the two studied soils.</t>
  </si>
  <si>
    <t>Univ Paris 06, Observ Oceanol Banyuls, Lab Arago, CNRS,UMR 7621, F-66650 Banyuls sur Mer, France; Univ Quebec, ISMER, Rimouski, PQ G5L 3A1, Canada</t>
  </si>
  <si>
    <t>Delille, D (corresponding author), Univ Paris 06, Observ Oceanol Banyuls, Lab Arago, CNRS,UMR 7621, F-66650 Banyuls sur Mer, France.</t>
  </si>
  <si>
    <t>Daniel, Delille/S-9542-2019; Coulon, Frederic/B-3227-2009</t>
  </si>
  <si>
    <t>Coulon, Frederic/0000-0002-4384-3222</t>
  </si>
  <si>
    <t>MICROBIAL ECOL</t>
  </si>
  <si>
    <t>10.1007/s00248-003-2024-5</t>
  </si>
  <si>
    <t>837DI</t>
  </si>
  <si>
    <t>WOS:000222608100011</t>
  </si>
  <si>
    <t>Petersen, S; Herzig, PM; Schwarz-Schampera, U; Hannington, MD; Jonasson, IR</t>
  </si>
  <si>
    <t>Hydrothermal precipitates associated with bimodal volcanism in the Central Bransfield Strait, Antarctica</t>
  </si>
  <si>
    <t>MINERALIUM DEPOSITA</t>
  </si>
  <si>
    <t>Bransfield Strait; intracontinental rift; hydrothermal precipitates; massive sulfides</t>
  </si>
  <si>
    <t>MASSIVE SULFIDE DEPOSITS; IBERIAN PYRITE BELT; NORTHEASTERN PACIFIC-OCEAN; SOUTH SHETLAND ISLANDS; BACK-ARC BASIN; SEA-FLOOR; OKINAWA TROUGH; ORGANIC-MATTER; GEOCHEMICAL CONSTRAINTS; ISOTOPE FRACTIONATION</t>
  </si>
  <si>
    <t>Polymetallic sulfide-sulfate mineralization enriched in Pb-Ag-As-Sb-Hg occurs in the Bransfield Strait, a late Tertiary-Quaternary marginal basin close to the Antarctic Peninsula. The mineralization is associated with bimodal volcanism and pelagic and volcaniclastic sediment in rifted continental crust. Hydrothermal precipitates have been recovered from two shallow (1,050-1,000 m water depth) submarine volcanoes (Hook Ridge and Three Sisters) in the Central Bransfield Strait. Mineralization at Hook Ridge consists of polymetallic sulfides, massive barite, and pyrite and marcasite crusts in semilithified pelagic and volcaniclastic sediment. Native sulfur commonly infills void space and cements the volcaniclastic sediment. The polymetallic sulfides are dominated by sphalerite with minor galena, enargite, tetrahedrite-tennantite, pyrite, chalcopyrite, and traces of orpiment cemented by barite and opal-A. The presence of enargite at Hook Ridge, the abundance of native sulfur, and the low Fe content of sphalerite indicate a high sulfur activity of the hydrothermal fluids responsible for mineralization. The sulfur isotopic composition of Hook Ridge precipitates documents the complexity of the sulfur sources in this hydrothermal system with variable influence of biological activity and possibly magmatic contributions. Homogenization temperatures and salinities of fluid inclusions in barite and opal-A suggest that boiling may have affected the hydrothermal fluids during their ascent. The discovery of massive barite-silica precipitates at another shallow marine volcano (Three Sisters volcano) attests to the potential for hydrothermal mineralization at other volcanic edifices in the area. The characteristics of the mineralization in the Bransfield Strait with rifting of continental crust, the presence of bimodal volcanism, including highly evolved felsic volcanic rocks, the association with sediments, and the Pb-Ag-As-Sb-Hg enrichment are similar to the setting of massive sulfide deposits in the Okinawa Trough, and distinct from those of sediment-dominated hydrothermal systems such as Escanaba Trough, Middle Valley, and Guaymas Basin. The geological setting of the Bransfield Strait is also broadly similar to that of some of the largest volcanogenic massive sulfide deposits in the ancient record, such as the Iberian Pyrite Belt.</t>
  </si>
  <si>
    <t>Freiberg Univ Min &amp; Technol, Dept Econ Geol &amp; Petrol, Inst Mineral, D-09596 Freiberg, Germany; Freiberg Univ Min &amp; Technol, Leibniz Lab Appl Marine Res, Inst Mineral, D-09596 Freiberg, Germany; Geol Survey Canada, Mineral Resources Div, D-30655 Hannover, Germany; Fed Inst Geosci &amp; Nat Resources, Econ Geol Res Inst, D-30655 Hannover, Germany</t>
  </si>
  <si>
    <t>Technical University Freiberg; Technical University Freiberg</t>
  </si>
  <si>
    <t>Freiberg Univ Min &amp; Technol, Dept Econ Geol &amp; Petrol, Inst Mineral, Brennhausgasse 14, D-09596 Freiberg, Germany.</t>
  </si>
  <si>
    <t>petersen@mineral.tu-freiberg.de</t>
  </si>
  <si>
    <t>Petersen, Sven/N-9528-2016</t>
  </si>
  <si>
    <t>Petersen, Sven/0000-0002-5469-105X</t>
  </si>
  <si>
    <t>0026-4598</t>
  </si>
  <si>
    <t>1432-1866</t>
  </si>
  <si>
    <t>MINER DEPOSITA</t>
  </si>
  <si>
    <t>Miner. Depos.</t>
  </si>
  <si>
    <t>10.1007/s00126-004-0414-3</t>
  </si>
  <si>
    <t>819VK</t>
  </si>
  <si>
    <t>WOS:000221343800007</t>
  </si>
  <si>
    <t>Jarman, SN; Deagle, BE; Gales, NJ</t>
  </si>
  <si>
    <t>Group-specific polymerase chain reaction for DNA-based analysis of species diversity and identity in dietary samples</t>
  </si>
  <si>
    <t>amplification; diet; faeces; identification; scat; stomach contents</t>
  </si>
  <si>
    <t>MOLECULAR ANALYSIS; PCR-AMPLIFICATION; MITOCHONDRIAL-DNA; GUT CONTENTS; IDENTIFICATION; PRIMERS; EVOLUTION; PREY; FRAGMENTS; COMPLEX</t>
  </si>
  <si>
    <t>Unique DNA sequences are present in all species and can be used as biomarkers for the detection of cells from that species. These DNA sequences can most easily be detected using the polymerase chain reaction (PCR), which allows very small quantities of target DNA sequence to be amplified even when the target is mixed with large amounts of nontarget DNA. PCR amplification of DNA markers that are present in a wide range of species has proven very useful for studies of species diversity in environmental samples. The taxonomic range of species to be identified from environmental samples may often need to be restricted to simplify downstream analyses and to ensure that less abundant sequences are amplified. Group-specific PCR primer sets are one means of specifying the range of taxa that produce an amplicon in a PCR. We have developed a range of group-specific PCR primers for studying the prey diversity found in predator stomach contents and scats. These primers, their design and their application to studying prey diversity and identity in predator diet are described.</t>
  </si>
  <si>
    <t>Australian Antarctic Div, Kingston, Tas 7050, Australia; Univ Tasmania, Dept Zool, Hobart, Tas 7001, Australia</t>
  </si>
  <si>
    <t>Australian Antarctic Division; University of Tasmania</t>
  </si>
  <si>
    <t>Deagle, Bruce E/A-9854-2008; Deagle, Bruce E/R-2999-2019; Jarman, Simon/H-9265-2016</t>
  </si>
  <si>
    <t>Deagle, Bruce E/0000-0001-7651-3687; Jarman, Simon/0000-0002-0792-9686</t>
  </si>
  <si>
    <t>10.1111/j.1365-294X.2004.02109.x</t>
  </si>
  <si>
    <t>815AX</t>
  </si>
  <si>
    <t>WOS:000221016300029</t>
  </si>
  <si>
    <t>Koshlyakov, MN; Tarakanov, RY</t>
  </si>
  <si>
    <t>Pacific deep water in the southern Ocean</t>
  </si>
  <si>
    <t>The hydrographic data obtained in the World Ocean Circulation Experiment are used to study the propagation and properties of the Pacific Deep Water (PDW) and the Upper Circumpolar Deep Water (UCPDW) in the Pacific sector of the Southern Ocean. Several regional modifications of the PDW are distinguished. The spatial positions of the boundaries between these water masses are found using an original method. The main regions of the PDW propagation into the Antarctic Circumpolar Current zone are distinguished and the regions of the PDW and the UCPDW transformation are found. The role of isopycnal and nonisopycnal processes in the formation of the water masses is estimated. Thic mean values and ranges of variability of the physical and chemical characteristics of the water masses are calculated.</t>
  </si>
  <si>
    <t>Russian Acad Sci, PP Shirshov Oceanol Inst, Moscow 117901, Russia</t>
  </si>
  <si>
    <t>Koshlyakov, MN (corresponding author), Russian Acad Sci, PP Shirshov Oceanol Inst, Moscow 117901, Russia.</t>
  </si>
  <si>
    <t>Tarakanov, Roman/R-3325-2016</t>
  </si>
  <si>
    <t>Tarakanov, Roman/0000-0002-8711-1859</t>
  </si>
  <si>
    <t>833NL</t>
  </si>
  <si>
    <t>WOS:000222344300001</t>
  </si>
  <si>
    <t>González-Solís, J</t>
  </si>
  <si>
    <t>Sexual size dimorphism in northern giant petrels:: ecological correlates and scaling</t>
  </si>
  <si>
    <t>INTERSEXUAL NICHE DIFFERENTIATION; MACRONECTES-HALLI; MATE CHOICE; EVOLUTION; HYPOTHESES; DISPLAY; GIGANTEUS; ANIMALS; SUCCESS; SKUAS</t>
  </si>
  <si>
    <t>Northern giant petrels (Macronectes halli) are among the largest and most sexually size dimorphic species of seabirds, with females being only 80% the mass of males. Both sexes scavenge on seal and penguin carrion in the sub-Antarctic ecosystem, but during the breeding season females also feed extensively on other marine food resources and show more pelagic habits than males. The outstanding sexual segregation in foraging and feeding ecology in northern giant petrels suggests that mechanisms maintaining sexual size dimorphism by ecological factors may be operating. I evaluated this possibility by examining ecological correlates with body size and by static allometry analyses. Fledging sex ratio in four consecutive years did not depart from parity. There was no assortative mating by size neither association between the male size with the breeding performance. By contrast, smaller females raised their chick in better condition. Moreover, bill size showed a size dimorphism beyond that expected by body size dimorphism, i.e. when controlling for body mass, males showed relatively longer bill than females. This trait did not deviate from isometry with respect to body size and its phenotypic variability was low, suggesting that the disproportionately large bill of males is related to their more scavenging life style compared to females. In general, the increase and maintenance of sexual size dimorphism in giant petrels is more consistent with an ecological causation rather than a result of sexual selection.</t>
  </si>
  <si>
    <t>Univ Barcelona, Dept Biol Anim Vertebrats, ES-08028 Barcelona, Spain; Natl Environm Res Council, British Antarctic Survey, Cambridge, England</t>
  </si>
  <si>
    <t>University of Barcelona; UK Research &amp; Innovation (UKRI); Natural Environment Research Council (NERC); NERC British Antarctic Survey</t>
  </si>
  <si>
    <t>Univ Barcelona, Dept Biol Anim Vertebrats, Av Diagonal 645, ES-08028 Barcelona, Spain.</t>
  </si>
  <si>
    <t>jacob@bio.ub.es</t>
  </si>
  <si>
    <t>Gonzalez-Solis, Jacob/C-3942-2008; González-Solís, Jacob/AAB-1161-2019</t>
  </si>
  <si>
    <t>Gonzalez-Solis, Jacob/0000-0002-8691-9397;</t>
  </si>
  <si>
    <t>10.1111/j.0030-1299.2004.12997.x</t>
  </si>
  <si>
    <t>805RJ</t>
  </si>
  <si>
    <t>WOS:000220383100005</t>
  </si>
  <si>
    <t>Simoes, MG; Kowalewski, M; Mello, LHC; Rodland, DL; Carroll, M</t>
  </si>
  <si>
    <t>Recent brachiopods from the southern Brazilian shelf: Palaeontological and biogeographical implications</t>
  </si>
  <si>
    <t>Terebratulida; recent; south-east Brazilian bight</t>
  </si>
  <si>
    <t>ARTICULATE BRACHIOPOD; LAQUEUS-CALIFORNIANUS; NEW-ZEALAND; TOLERANCE; ATLANTIC; OXYGEN</t>
  </si>
  <si>
    <t>Until recently, the rhynchonelliform (articulated) brachiopod fauna from the Brazilian continental shelf (western South Atlantic) was represented only by the endemic species Bouchardia rosea (Mawe), reported from coastal waters of the states of Sao Paulo and Rio de Janeiro. The present study, based on samples from coastal (&lt;30 m), shelf, and continental slope waters (99-485 m), documents the South Atlantic brachiopod fauna and shows that this fauna is more widespread, diverse, and cosmopolitan than previously thought. Based on a total of 16,177 specimens, the following brachiopods have been identified: Bouchardia rosea (Family Bouchardiidae), Platidia anomioides (Family Platidiidae), Argyrotheca cf. cuneata (Family Megathyrididae), and Terebratulina sp. (Family Cancellothyrididae). In coastal settings, the fauna is overwhelmingly dominated by Bouchardia rosea. Rare juvenile (&lt;2 mm) specimens of Argyrotheca cf. cuneata were also found at two shallow-water sites. In shelf settings (100-200 m), the fauna is more diverse and includes Bouchardia rosea, Terebratulina sp., Argyrotheca cf. cuneata, and Platidia anomioides. Notably, Bouchardia rosea was found in waters as deep as 485 m, extending the known bathymetric range of this genus. Also, the record of this brachiopod in waters of the state of Parana is the southernmost known occurrence of this species. The genera Platidia and Terebratulina are documented here for the first time for the western South Atlantic. The Brazilian brachiopod fauna shares similarities with those from the Atlantic and Indian shelves of southern Africa, and from the Antarctic, Caribbean and Mediterranean waters. The present-day brachiopods of the western South Atlantic are much more cosmopolitan than previously thought and their Cenozoic palaeobiogeographic history has to be reconsidered from that perspective.</t>
  </si>
  <si>
    <t>Univ Estadual Paulista, Inst Biociencias, BR-18618000 Sao Paulo, Brazil; Virginia Polytech Inst &amp; State Univ, Dept Geol Sci, Blacksburg, VA 24061 USA; So Connecticut State Univ, Dept Earth Sci, New Haven, CT 06515 USA; Univ Georgia, Dept Geol, Athens, GA 30602 USA; Univ Sao Paulo, Inst Geociencias, Programa Posgrad Geol Sedimentar, BR-05508900 Sao Paulo, Brazil</t>
  </si>
  <si>
    <t>Universidade Estadual Paulista; Universidade de Sao Paulo; Virginia Polytechnic Institute &amp; State University; Connecticut State University System; Southern Connecticut State University; University System of Georgia; University of Georgia; Universidade de Sao Paulo</t>
  </si>
  <si>
    <t>Simoes, MG (corresponding author), Univ Estadual Paulista, Inst Biociencias, Campus Botucatu,CP 510, BR-18618000 Sao Paulo, Brazil.</t>
  </si>
  <si>
    <t>btsimoes@ibb.unesp.br</t>
  </si>
  <si>
    <t>Simoes, Marcello G/C-2373-2012; Kowalewski, Michal/B-4263-2008</t>
  </si>
  <si>
    <t>Kowalewski, Michal/0000-0002-8575-4711; Simoes, Marcello/0000-0002-8706-3199</t>
  </si>
  <si>
    <t>10.1111/j.0031-0239.2004.00383.x</t>
  </si>
  <si>
    <t>820PS</t>
  </si>
  <si>
    <t>WOS:000221402400003</t>
  </si>
  <si>
    <t>Liu, HX; Jezek, KC</t>
  </si>
  <si>
    <t>A complete high-resolution coastline of antarctica extracted from orthorectified Radarsat SAR imagery</t>
  </si>
  <si>
    <t>ICE-SHEET; EDGE-DETECTION; ERS-1 SAR; SYSTEM; RECTIFICATION; SHORELINE</t>
  </si>
  <si>
    <t>A complete, high-resolution coastline of Antarctica, extracted from an orthorectified mosaic of Radarsat-1 synthetic aperture radar ( An) images through a sequence of automated image processing algorithms, is presented. A locally adaptive thresholding method is used to segment the orthorectified SAR images, while image-object formation and labeling, and edge-tracing techniques are used to Process the segmented images into vector-based cartographic products of coastline, defined here as the boundary between continental ice OF rock exposures and sea ice covered ocean. The absolute accuracy of planimetric positioning of the resultant coastline is estimated to better than 130 m, and its spatial resolution (25 m) is adequate for supporting cartographic and scientific applications at 1:50,000 scale. This radar-image-derived coastline gives an accurate description of geometric shape and glaciological characteristics of the Antarctic coasts and also Provides a precise benchmark for future change-detection studies.</t>
  </si>
  <si>
    <t>Texas A&amp;M Univ, Dept Geog, College Stn, TX 77843 USA; Ohio State Univ, Byrd Polar Res Ctr, Columbus, OH 43210 USA</t>
  </si>
  <si>
    <t>Texas A&amp;M University System; Texas A&amp;M University College Station; University System of Ohio; Ohio State University</t>
  </si>
  <si>
    <t>Texas A&amp;M Univ, Dept Geog, College Stn, TX 77843 USA.</t>
  </si>
  <si>
    <t>liu@geog.tamu.edu; jezek@frosty.mps.ohio-state.edu</t>
  </si>
  <si>
    <t>10.14358/PERS.70.5.605</t>
  </si>
  <si>
    <t>820QD</t>
  </si>
  <si>
    <t>WOS:000221403500006</t>
  </si>
  <si>
    <t>Rindi, F; Guiry, MD</t>
  </si>
  <si>
    <t>Composition and spatial variability of terrestrial algal assemblages occurring at the bases of urban walls in Europe</t>
  </si>
  <si>
    <t>ANTARCTIC FELLFIELD SOILS; PRASIOLALES CHLOROPHYTA; FRESH-WATER; WESTERN IRELAND; GALWAY CITY; NW SPAIN; CYANOBACTERIA; MONUMENTS; SUBAERIAL; HABITATS</t>
  </si>
  <si>
    <t>Communities of terrestrial green algae occurring at the bases of old, weathered walls are widespread in temperate urban areas. but have been Virtually unstudied. III spring and summer 2002 we examined collections from a number of cities in northern Europe (Galway, Dublin, Manchester, Durham, Copenhagen) and southern Europe (Oviedo, Leon, Bordeaux, Marseilles. Pisa) and from several localities in western Ireland. Seventeen taxa of green and blue-green algae were found. Filamentous green algae were the most common forms and the assemblages could be Subdivided into two different types: a Prasiolales assemblage (in which the dominant forms are Rosenvingiella sp. and Prasiolo calophylla) and a Klebsormidium assemblage (dominated by species of Klebsormidium). The patterns of distribution of the most abundant species showed marked differences between the cities sampled, but no significant effect Of latitude. The vegetation of each of the cities examined was generally assignable either to the Prasiolales assemblage (Galway, Dublin, Durham, Oviedo and Leon) or the Klebsormidium assemblage (Manchester, Copenhagen, Bordeaux, Marseilles and Pisa). For western Ireland, no significant variation was detected in the assemblages at different distances from the Atlantic. Climatic factors operating at a scale of hundreds of kilometres are considered the most important in determining the relative distribution of these assemblages. The Prasiolales assemblage is primarily associated with the rainy and cool Atlantic regions of Europe, whereas the Klebsormidium assemblage is dominant in continental and Mediterranean areas. The composition of these assemblages shows extremely limited variation on small spatial scales and no significant variation is detectable between different areas of the same city or town for any of the most common species. Physiological attributes of the Prasiolates and Klebsormidium in relation to different climatic regimes are considered to play a fundamental role in the distributional patterns of these algae.</t>
  </si>
  <si>
    <t>Natl Univ Ireland Univ Coll Galway, Martin Ryan Inst, Dept Bot, Galway, Ireland</t>
  </si>
  <si>
    <t>Ollscoil na Gaillimhe-University of Galway</t>
  </si>
  <si>
    <t>Rindi, F (corresponding author), Natl Univ Ireland Univ Coll Galway, Martin Ryan Inst, Dept Bot, Galway, Ireland.</t>
  </si>
  <si>
    <t>fabio.rindi@nuigalway.ie</t>
  </si>
  <si>
    <t>Rindi, Fabio/H-7147-2019; Rindi, Fabio/ITU-7669-2023</t>
  </si>
  <si>
    <t>RINDI, Fabio/0000-0002-7392-3653</t>
  </si>
  <si>
    <t>10.2216/i0031-8884-43-3-225.1</t>
  </si>
  <si>
    <t>825VD</t>
  </si>
  <si>
    <t>WOS:000221785600001</t>
  </si>
  <si>
    <t>La Mesa, M; Eastman, JT; Vacchi, M</t>
  </si>
  <si>
    <t>The role of notothenioid fish in the food web of the Ross Sea shelf waters: a review</t>
  </si>
  <si>
    <t>TERRA-NOVA BAY; SOUTH-SHETLAND ISLANDS; PAGOTHENIA-BORCHGREVINKI PISCES; SKUA CATHARACTA-MACCORMICKI; ANTARCTIC DEMERSAL FISH; MCMURDO SOUND; WEDDELL SEALS; TREMATOMUS-BERNACCHII; MINKE WHALES; CONTINENTAL-SHELF</t>
  </si>
  <si>
    <t>The Ross Sea, a large, high-latitude (72-78degreesS) embayment of the Antarctic continental shelf, averages 500 m deep, with troughs to 1,200 m and the shelf break at 700 m. It is covered by pack ice for 9 months of the year. The fish fauna of about 80 species includes primarily 4 families and 53 species of the endemic perciform suborder Notothenioidei. This review focuses on the diet and role in the food web of notothenioids and top-level bird and mammal predators, and also includes new information on the diets of artedidraconids and bathydraconids. Although principally a benthic group, notothenioids have diversified to form an adaptive radiation that includes pelagic and semipelagic species. In the southern Ross Sea, notothenioids dominate the fish fauna at levels of abundance and biomass &gt;90% and are, therefore, inordinately important in the food web. Antarctic krill (Euphausia superba) and mesopelagic fishes are virtually absent from the shelf waters of the Ross Sea. Of the four notothenioid families, nototheniids show the most ecological and dietary diversification, with pelagic, cryopelagic, epibenthic and benthic species. Neutrally buoyant Pleuragramma antarcticum constitutes &gt;90% of both the abundance and biomass of the midwater fish fauna. Most benthic nototheniids are opportunistic and feed on seasonally or locally abundant zooplanktonic prey. Artedidraconids are benthic sit-and-wait predators. Larger bathydraconids are benthic predators on fish while smaller species feed mainly on benthic crustaceans. Channichthyids are less dependent on the bottom for food than other notothenioids. Some species combine benthic and pelagic life styles; others are predominantly pelagic and all consume euphausiids and/or fish. South polar skuas, Antarctic petrels, Adelie and emperor penguins, Weddell seals and minke and killer whales are the higher vertebrate components of the food web, and all prey on notothenioids to some extent. Based on the frequency of occurrence of prey items in the stomachs of fish, bird and mammal predators, P. antarcticum and ice krill E. crystallorophias are the key species in the food web of the Ross Sea. P. antarcticum is a component of the diet of at least 11 species of nototheniid, bathydraconid and channichthyid fish and, at frequencies of occurrence from 71 to 100%, is especially important for Dissostichus mawsoni, Gvozdarus svetovidovi and some channichthyids. At least 16 species of notothenioids serve as prey for bird and mammal predators, but P. antarcticum is the most important and is a major component of the diet of south polar skua, Adelie and emperor penguins and Weddell seals, at frequencies of occurrence from 26 to 100%. E. crystallorophias is consumed by some nototheniid and channichthyid fish and can be of importance in the diet of emperor and Adelie penguins, although in the latter case, this is dependent on location and time of year. Unlike the linear phytoplankton--&gt;E. superba--&gt;consumers of the E. superba food chain hypothesized for much of the Southern Ocean, the food web of the Ross Sea shelf is non-linear, with complex prey-predator interactions. Notothenioid fish play a key role: as predators, they occupy most of the trophic niches available in the ecosystem, relying on benthic, zooplanktonic and nektonic organisms; as prey, they are important food resources for each other and for most top predators living and foraging on the shelf. They also constitute the major link between lower (invertebrates) and higher (birds and mammals) levels of the food web. This is especially true for P. antarcticum. Along with E. crystallorophias, its ecological role in the Ross Sea is equivalent to that of myctophids and E. superba elsewhere in the Southern Ocean.</t>
  </si>
  <si>
    <t>CNR, Ist Ric Pesca Marittima, I-60125 Ancona, Italy; Ohio Univ, Coll Osteopath Med, Dept Biomed Sci, Athens, OH 45701 USA; Ist Cent Ric Sci &amp; Tecnol Applicata Mare, ICRAM, I-00166 Rome, Italy</t>
  </si>
  <si>
    <t>Consiglio Nazionale delle Ricerche (CNR); University System of Ohio; Ohio University</t>
  </si>
  <si>
    <t>La Mesa, M (corresponding author), CNR, Ist Ric Pesca Marittima, Largo Fiera della Pesca 1, I-60125 Ancona, Italy.</t>
  </si>
  <si>
    <t>lamesa@irpem.an.cnr.it</t>
  </si>
  <si>
    <t>Eastman, Joseph T./O-6150-2019; Eastman, Joseph T/A-9786-2008; CNR, Ismar/P-1247-2014</t>
  </si>
  <si>
    <t>Eastman, Joseph T./0000-0003-3868-261X; CNR, Ismar/0000-0001-5351-1486</t>
  </si>
  <si>
    <t>10.1007/s00300-004-0599-z</t>
  </si>
  <si>
    <t>820NT</t>
  </si>
  <si>
    <t>WOS:000221397200001</t>
  </si>
  <si>
    <t>Bengtson, JL; Cameron, MF</t>
  </si>
  <si>
    <t>Seasonal haulout patterns of crabeater seals (Lobodon carcinophaga)</t>
  </si>
  <si>
    <t>CRABEATER SEALS; BEHAVIOR; ANTARCTICA</t>
  </si>
  <si>
    <t>The haulout patterns of five adult and two juvenile crabeater seals (Lobodon carcinophaga) were documented from February to December 1995 in three areas of the Antarctic. The longest haulout event was 19.2 h (mean=7.9, median=7.8); the longest in-water event was 85.8 h (mean=15.1, median=14.2). In no month were more than 76% of the adult seals in our sample hauled-out simultaneously. Multivariate repeated measures analysis of variance tests revealed no difference between males and females in the daily timing of haulout (P&gt;0.05) between March and August (the only months with an adequate sample); in contrast, haulout timing differed between juvenile and adult seals (P&lt;0.05) except in May. Juveniles spent about twice as much time hauled-out on the ice as adults (38% vs 20%, respectively; P&lt;0.05). Predator avoidance by juveniles is hypothesized to be a possible cause for these differences. In light of these haulout patterns, population surveys of crabeater seals conducted in February, and as close as possible to local solar noon, can be expected to encounter the highest proportion of seals hauled-out on ice.</t>
  </si>
  <si>
    <t>NMFS, Natl Marine Mammal Lab, Alaska Fisheries Sci Ctr, NOAA, Seattle, WA 98115 USA</t>
  </si>
  <si>
    <t>Bengtson, JL (corresponding author), NMFS, Natl Marine Mammal Lab, Alaska Fisheries Sci Ctr, NOAA, 7600 Sand Point Way NE, Seattle, WA 98115 USA.</t>
  </si>
  <si>
    <t>john.bengtson@noaa.gov</t>
  </si>
  <si>
    <t>10.1007/s00300-004-0597-1</t>
  </si>
  <si>
    <t>WOS:000221397200003</t>
  </si>
  <si>
    <t>Peck, LS; Ansell, AD; Webb, KE; Hepburn, L; Burrows, M</t>
  </si>
  <si>
    <t>Movements and burrowing activity in the Antarctic bivalve molluscs Laternula elliptica and Yoldia eightsi</t>
  </si>
  <si>
    <t>SEDIMENT GRAIN-SIZE; LARVAL DEVELOPMENT; SIGNY ISLAND; TEMPERATURE; GROWTH; REPRODUCTION; ADAPTATIONS; VENERIDAE; ABUNDANCE; CONCINNA</t>
  </si>
  <si>
    <t>Burrowing was investigated in two Antarctic infaunal bivalve molluscs, Laternula elliptica and Yoldia eightsi, representing amongst the least and most active members of the class Bivalvia in the Southern Ocean. Burrowing rate was expressed via the Burrowing Rate Index (BRI=[(3)rootwet weight/time to bury]x10(4)), and produced values of 0.1-10.6 for L. elliptica and 8.8-49.8 for Y. eightsi. These compare with values ranging from 3 to 2,000 for N. American bivalves (mean=222, SE=42.6, n=81), and 200 to 2,200 for Hong Kong bivalves (mean=1,140, SE=346, n=6). Values for the Antarctic species are, therefore, low compared to warmer-water bivalves, and the values below 1 for large L. elliptica are the lowest on record by around x5. There is no compensation of burrowing activity for low temperature in these species. The relative BRI values for L. elliptica and Y. eightsi reflect the differences in their mode of life, with the former being large, sedentary and suspension-feeding, and the latter being smaller, mobile, ploughing through the sediment and feeding on sediment-surface organic matter. Burrowing in L. elliptica is unexpected, because other members of the Laternulidae do not burrow. This ability is most probably a response to the regular disturbance of sediments in Antarctica by ice, and the strong selective advantage to being able to resume a protected position after disturbance. The burrowing cycle in L. elliptica is composed of three main phases: (1) foot extension and sediment penetration; (2) foot dilation to form an anchor; (3) the drawing down of the shell by contraction of the pedal retractor muscles. Burrowing in Y. eightsi also has three phases: (1) foot extension and penetration of the sediment (digging); (2) rocking movements in the upright position; (3) shell anchorage. In excess of burrowing activity, L. elliptica exhibits a unique suite of movements when exposed at the surface. These comprise levering, where the tips of the siphons are pressed against the sediment to lift the shell from the substratum, looping, where the siphons are extended and rotated and, in the process, translocate the whole animal across the sediment, and jetting, where water is ejected forcibly through the siphons while their tips are directed towards the sediment, lifting part or all of the animal clear of the substratum. In the field, following exhumation by icebergs, these activities serve to place the animal in a favourable position for reburial, which is a clear advantage in disturbed polar environments where predatory nemerteans and asteroids are abundant.</t>
  </si>
  <si>
    <t>British Antarctic Survey, Cambridge CB3 0ET, England; Scottish Assoc Marine Sci, Dunstaffnage Marine Lab, Oban PA37 1QA, Argyll, Scotland</t>
  </si>
  <si>
    <t>UK Research &amp; Innovation (UKRI); Natural Environment Research Council (NERC); NERC British Antarctic Survey; UHI Millennium Institute</t>
  </si>
  <si>
    <t>Peck, LS (corresponding author), British Antarctic Survey, High Cross,Madingley Rd, Cambridge CB3 0ET, England.</t>
  </si>
  <si>
    <t>Webb, Karen/A-5977-2010; Burrows, Michael T/D-9844-2013; Burrows, Michael/ABF-4844-2020</t>
  </si>
  <si>
    <t>Burrows, Michael T/0000-0003-4620-5899; Burrows, Michael/0000-0003-4620-5899; Hepburn, Leanne/0000-0002-5109-7127</t>
  </si>
  <si>
    <t>10.1007/s00300-003-0588-7</t>
  </si>
  <si>
    <t>WOS:000221397200005</t>
  </si>
  <si>
    <t>Zhao, LY; Castellini, MA; Mau, TL; Trumble, SJ</t>
  </si>
  <si>
    <t>Trophic interactions of Antarctic seals as determined by stable isotope signatures</t>
  </si>
  <si>
    <t>CARBON ISOTOPES; DIET; PHYTOPLANKTON; FRACTIONATION; DELTA-C-13; OCEAN; ANIMALS; RATIOS; FLOW; N-15</t>
  </si>
  <si>
    <t>The diets and trophic interactions among Weddell, crabeater, Ross, and leopard seals in the eastern Ross Sea, Antarctica, were investigated by the use of stable isotope techniques during the 1999-2000 summer seasons. The delta(13)C and delta(15)N values in seal serum clearly distinguished the three Antarctic pack-ice seal species at different trophic positions (Weddell&gt;Ross&gt;crabeater). These patterns appeared to reflect a close linkage to their known foraging ecology and diving behaviors, and agreed well with their presumed dietary diversity. The more enriched delta(13)C and delta(15)N values in male Weddell seals than those in females suggested differences in foraging preferences between them. Significant differences in delta(15)N were also found among different age groups of Weddell seals. A strong correlation between the C:N ratios and serum cholesterol was probably due to extremely high cholesterol levels in phocids. Comparisons of isotope data with harbor seals revealed distinct differences between Antarctic phocids and the northern seal species.</t>
  </si>
  <si>
    <t>Univ Alaska Fairbanks, Sch Fisheries &amp; Ocean Sci, Inst Marine Sci, Fairbanks, AK 99775 USA</t>
  </si>
  <si>
    <t>University of Alaska System; University of Alaska Fairbanks</t>
  </si>
  <si>
    <t>Univ Alaska Fairbanks, Sch Fisheries &amp; Ocean Sci, Inst Marine Sci, POB 757220, Fairbanks, AK 99775 USA.</t>
  </si>
  <si>
    <t>ftlz@uaf.edu</t>
  </si>
  <si>
    <t>Trumble, Stephen/0000-0001-6319-9633; Castellini, Michael/0000-0003-0396-1045</t>
  </si>
  <si>
    <t>10.1007/s00300-004-0598-0</t>
  </si>
  <si>
    <t>WOS:000221397200006</t>
  </si>
  <si>
    <t>Rotllant, G; Company, JB; Busquets, X; Buchholz, F</t>
  </si>
  <si>
    <t>Synchronous moulting of krill, Euphausia superba, in the Bransfield Strait (Antarctica)</t>
  </si>
  <si>
    <t>MEGANYCTIPHANES-NORVEGICA; SWARMS; BEHAVIOR; GROWTH; SIZE</t>
  </si>
  <si>
    <t>A large mass of cast exoskeletons of the Antarctic krill Euphausia superba was fished in February 2001 at one station in the Bransfield Strait between 411 and 153 m. We assume that the mass of cast exoskeletons originated from a synchronous moult of thousands of individuals. Depending on the size of the krill moulted, the amount of exoskeletons corresponded to a krill abundance of 1,480-48,000 individuals per 1,000 m(3).</t>
  </si>
  <si>
    <t>CSIC, CMIMA, Inst Ciencias Mar, E-08003 Barcelona, Spain; Hosp Univ Son Dureta, Palma de Mallorca 07014, Spain; Biol Anstalt Helgoland, D-27483 Helgoland, Germany</t>
  </si>
  <si>
    <t>Consejo Superior de Investigaciones Cientificas (CSIC); CSIC - Centro Mediterraneo de Investigaciones Marinas y Ambientales (CMIMA); CSIC - Instituto de Ciencias del Mar (ICM); Hospital Universitari Son Espases; Hospital Universitari Son Dureta; Helmholtz Association; Alfred Wegener Institute, Helmholtz Centre for Polar &amp; Marine Research</t>
  </si>
  <si>
    <t>CSIC, CMIMA, Inst Ciencias Mar, Passeig Maritim Barceloneta 37-49, E-08003 Barcelona, Spain.</t>
  </si>
  <si>
    <t>guio@icm.csic.es</t>
  </si>
  <si>
    <t>Company, Joan B. B/K-7274-2014; Busquets, Xavier/M-5574-2018; Rotllant, Guiomar/I-1838-2013</t>
  </si>
  <si>
    <t>Busquets, Xavier/0000-0003-1157-5590; Rotllant, Guiomar/0000-0002-6692-9678</t>
  </si>
  <si>
    <t>10.1007/s00300-004-0605-5</t>
  </si>
  <si>
    <t>WOS:000221397200008</t>
  </si>
  <si>
    <t>Renbarger, T; Chuss, DT; Dotson, JL; Griffin, GS; Hanna, JL; Loewenstein, RF; Malhotra, PS; Marshall, JL; Novak, G; Pernic, RJ</t>
  </si>
  <si>
    <t>Early results from SPARO: Instrument characterization and polarimetry of NGC 6334</t>
  </si>
  <si>
    <t>PUBLICATIONS OF THE ASTRONOMICAL SOCIETY OF THE PACIFIC</t>
  </si>
  <si>
    <t>SUBMILLIMETER POLARIZATION; INFRARED OBSERVATIONS; ARRAY POLARIMETRY</t>
  </si>
  <si>
    <t>The Submillimeter Polarimeter for Antarctic Remote Observations (SPARO) employs two nine-element arrays of He-3-cooled bolometers to measure linear polarization at mm. It is operated at the focal plane of the Viper telescope, located at the Amundsen-Scott South Pole Station. SPARO obtains better sensitivity to degree-scale polarized submillimeter emission than can be currently achieved with any other experiment. We describe the design of SPARO's optics, detectors, and electronics. We also review the design of the SPARO cryostat, which has already been discussed in a previous paper. We discuss the performance of SPARO and Viper during observations at the South Pole in 2000, and we present polarimetric observations of NGC 6334 made with SPARO. Finally, we compare these observations with submillimeter polarimetric observations of the same source made at the Caltech Submillimeter Observatory and the James Clerk Maxwell Telescope, and we discuss the implications of these three data sets for the magnetic field in NGC 6334.</t>
  </si>
  <si>
    <t>Northwestern Univ, Dept Phys &amp; Astron, Evanston, IL 60208 USA; Univ Minnesota, Dept Phys &amp; Astron, Minneapolis, MN 55455 USA; NASA, Goddard Space Flight Ctr, Greenbelt, MD 20771 USA; NASA, Ames Res Ctr, Moffett Field, CA 94035 USA; Carnegie Mellon Univ, Dept Phys, Pittsburgh, PA 15213 USA; NASA, Langley Res Ctr, Hampton, VA 23681 USA; Univ Chicago, Yerkes Observ, Williams Bay, WI 53191 USA; Case Western Reserve Univ, Sch Med, Cleveland, OH 44106 USA; Ohio State Univ, Dept Astron, Columbus, OH 43210 USA</t>
  </si>
  <si>
    <t>Northwestern University; University of Minnesota System; University of Minnesota Twin Cities; National Aeronautics &amp; Space Administration (NASA); NASA Goddard Space Flight Center; National Aeronautics &amp; Space Administration (NASA); NASA Ames Research Center; Carnegie Mellon University; National Aeronautics &amp; Space Administration (NASA); NASA Langley Research Center; University of Chicago; University System of Ohio; Case Western Reserve University; University System of Ohio; Ohio State University</t>
  </si>
  <si>
    <t>Northwestern Univ, Dept Phys &amp; Astron, 2145 Sheridan Rd, Evanston, IL 60208 USA.</t>
  </si>
  <si>
    <t>renbarge@physics.umn.edu</t>
  </si>
  <si>
    <t>Chuss, David T/D-8281-2012; Dotson, Jennifer L/G-3778-2012; Malhotra, Prashant S/F-4353-2015</t>
  </si>
  <si>
    <t>Chuss, David/0000-0003-0016-0533; Malhotra, Prashant/0000-0002-8690-2800</t>
  </si>
  <si>
    <t>0004-6280</t>
  </si>
  <si>
    <t>1538-3873</t>
  </si>
  <si>
    <t>PUBL ASTRON SOC PAC</t>
  </si>
  <si>
    <t>Publ. Astron. Soc. Pac.</t>
  </si>
  <si>
    <t>10.1086/383623</t>
  </si>
  <si>
    <t>815UP</t>
  </si>
  <si>
    <t>WOS:000221067500004</t>
  </si>
  <si>
    <t>Lawrence, JS</t>
  </si>
  <si>
    <t>Infrared and submillimeter atmospheric characteristics of high Antarctic Plateau sites</t>
  </si>
  <si>
    <t>SOUTH-POLE; OBSERVING CONDITIONS; ADAPTIVE-OPTICS; MAUNA-KEA; TRANSMISSION; PERFORMANCE; BRIGHTNESS; OPACITY</t>
  </si>
  <si>
    <t>The best ground-based astronomical sites in terms of telescope sensitivity at infrared and submillimeter wavelengths are located on the Antarctic Plateau, where high atmospheric transparency and low sky emission are obtained because of the extremely cold and dry air; these benefits are well characterized at the South Pole station. The relative advantages offered by three potentially superior sites, Dome C, Dome F, and Dome A, located higher on the Antarctic Plateau, are quantified here through the development of atmospheric models using the line-by-line radiative transfer model code. In the near- to mid-infrared, sensitivity gains relative to the South Pole of up to a factor of 10 are predicted at Dome A, and a factor of 2 for Dome C. In the mid- to far-infrared, sensitivity gains relative to the South Pole up to a factor of 100 are predicted for Dome A and 10 for Dome C. These values correspond to even larger gains ( up to 3 orders of magnitude) compared to the best mid-latitude sites, such as Mauna Kea and the Chajnantor Plateau.</t>
  </si>
  <si>
    <t>Univ New S Wales, Sch Phys, Sydney, NSW 2052, Australia</t>
  </si>
  <si>
    <t>jl@phys.unsw.edu.au</t>
  </si>
  <si>
    <t>Lawrence, Jon/0000-0002-6998-6993</t>
  </si>
  <si>
    <t>10.1086/420757</t>
  </si>
  <si>
    <t>WOS:000221067500010</t>
  </si>
  <si>
    <t>Dupont, LM; Kim, JH; Schneider, RR; Shi, N</t>
  </si>
  <si>
    <t>Southwest African climate independent of Atlantic sea surface temperatures during the Younger</t>
  </si>
  <si>
    <t>pollen; dinoflagellate cysts; alkenones; SST; deglaciation; southwestern Africa</t>
  </si>
  <si>
    <t>LAST GLACIAL MAXIMUM; LATE QUATERNARY; SOUTHERN-AFRICA; LATE PLEISTOCENE; GREENLAND; POLLEN; VEGETATION; CAPE; SEDIMENTS; RECORDS</t>
  </si>
  <si>
    <t>To investigate land-sea interactions during deglaciation, we compared proxies for continental (pollen percentages and accumulation rates) and marine conditions (dinoflagellate cyst percentages and alkenone-derived sea surface temperatures). The proxies were from published data from an AMS-radiocarbon-dated sedimentary record of core GeoB 1023-5 encompassing the past 21,000 years. The site is located at ca. 2000 m water depth just north of the Walvis Ridge and in the vicinity of the Cunene River mouth. We inter that the parallelism between increasing sea surface temperatures and a southward shift of the savanna Occurred only during the earliest part of the deglaciation. After the Antarctic Cold Reversal, southeast Atlantic sea surface temperatures no longer influenced the vegetation development in the Kalahari. Stronger trade winds during the Antarctic Cold Reversal and the Younger Dryas period probably caused increased upwelling off the coast of Angola. A southward shift of the Atlantic anti-cyclone could have resulted in both stronger trade winds and reduced impact of the Westerlies on the climate of southwestern Africa. (C) 2004 University of Washington. All rights reserved.</t>
  </si>
  <si>
    <t>Univ Bremen, D-28334 Bremen, Germany; Univ Gottingen, D-3400 Gottingen, Germany</t>
  </si>
  <si>
    <t>University of Bremen; University of Gottingen</t>
  </si>
  <si>
    <t>Dupont, LM (corresponding author), Univ Bremen, POB 330440, D-28334 Bremen, Germany.</t>
  </si>
  <si>
    <t>dupont@uni-bremen.de</t>
  </si>
  <si>
    <t>Dupont, Lydie/0000-0001-9531-6793; Schneider, Ralph/0000-0003-1453-9181</t>
  </si>
  <si>
    <t>1096-0287</t>
  </si>
  <si>
    <t>10.1016/j.yqres.2004.02.005</t>
  </si>
  <si>
    <t>823BV</t>
  </si>
  <si>
    <t>WOS:000221585600008</t>
  </si>
  <si>
    <t>Taylor, SP; Haywood, AM; Valdes, PJ; Sellwood, BW</t>
  </si>
  <si>
    <t>An evaluation of two spatial interpolation techniques in global sea-surface temperature reconstructions: Last Glacial Maximum and Pliocene case studies</t>
  </si>
  <si>
    <t>MARINE TEMPERATURES; CLIMATE; ICE; EVOLUTION; OCEAN; GIS; GCM</t>
  </si>
  <si>
    <t>Global estimates of sea-surface temperature (SST) distributions represent an important prescribed boundary condition for atmosphere-only general circulation models (AGCMs) which aim to Simulate the behaviour of the past climate system. We investigate the use of objective interpolation techniques, based on Delaunay triangulation and gridded-averaging, in translating point-based SST data into global maps. Existing global SST datasets generated by CLIMAP for the Last Glacial Maximum (LGM) and PRISM for the middle Pliocene are used as vehicles for evaluation. Results indicate that the sample quantity and array of the CLIMAP sites are sufficient to faithfully reconstruct major surface water patterns of the LGM. However, as problems with sample quantity and distribution become more acute in pre-Quaternary periods, interpolators are limited in their ability to produce reasonable estimates in data sparse regions. In such cases, potential biases associated with interpolation become significant enough to bring into doubt the overall validity of the global SST reconstruction. This limits the datasets use as a prescribed boundary condition in AGCM simulations. On a regional scale, objective methods offer a valuable means of assessing data quality and constraining future Subjective analysis. Primary rather than interpolated SST data remain extremely valuable as a tool to evaluate output from coupled ocean-atmosphere models rather than a prescribed boundary condition in AGCM Simulations. (C) 2004 Elsevier Ltd. All rights reserved.</t>
  </si>
  <si>
    <t>British Antarctic Survey, Geol Sci Div, Cambridge CB3 0ET, England; Univ Reading, Dept Meteorol, Reading RG6 6BB, Berks, England; Univ Bristol, Sch Geog Sci, Bristol BS8 1SS, Avon, England; Sch Human &amp; Environm Sci, Reading RG6 6AB, Berks, England</t>
  </si>
  <si>
    <t>UK Research &amp; Innovation (UKRI); Natural Environment Research Council (NERC); NERC British Antarctic Survey; University of Reading; University of Bristol; University of Reading</t>
  </si>
  <si>
    <t>British Antarctic Survey, Geol Sci Div, High Cross,Madingley Rd, Cambridge CB3 0ET, England.</t>
  </si>
  <si>
    <t>Valdes, Paul J/C-4129-2013; Valdes, Paul/T-2004-2019</t>
  </si>
  <si>
    <t>10.1016/j.quascirev.2003.12.003</t>
  </si>
  <si>
    <t>822ZT</t>
  </si>
  <si>
    <t>WOS:000221580200005</t>
  </si>
  <si>
    <t>Lama, L; Calandrelli, V; Gambacorta, A; Nicolaus, B</t>
  </si>
  <si>
    <t>Purification and characterization of thermostable xylanase and β-xylosidase by the thermophilic bacterium Bacillus thermantarcticus</t>
  </si>
  <si>
    <t>Bacillus; purification; thermophiles; xylanolytic enzymes</t>
  </si>
  <si>
    <t>STRAIN; MICROORGANISMS; ENZYMES; GROWTH</t>
  </si>
  <si>
    <t>Bacillus thermantarcticus, a thermophilic bacterium isolated from Antarctic geothermal soil near the crater of Mount Melbourne, produced extracellular xylanase (1.4-beta-D-xylan xylanohydrolase; E.C. 3.2.1.8) and P-xylosidase (1,4-beta-D-xylan xylohydrolase; E.C. 3.2.1.37). Each extracellular enzyme was separated by gel filtration with Sephacryl S-200 and further purified to homogeneity (119-fold for xylanase and 160-fold for beta-xylosidase). The Optimum temperatures were 80 degreesC for xylanase at pH 5.6 and 70 degreesC for beta-xylosidase at pH 6.0. The isoelectric points and molecular masses were 4.8 and 45 kDa for xylanase and 4.2 and 150 kDa for beta-xylosidase, respectively. Xylanase was stable at 60 degreesC for 24 h. whereas it showed a half life at 70 degreesC of 24 h and at 80 degreesC for 50 min. beta-xylosidase activity did not decrease after I h at 60 degreesC. Km of xylanase for xylan was 1.6 mg/ml, Km of beta-xylosidase for beta-nitrophenyl-beta-D-xylopyranoside was 0.5 mM and for o-nitrophenvi-beta-D-xylopyraiioside was 1.28 mM. The action of two enzymes on xylan gave only xylose. (C) 2004 Elsevier SAS. All rights reserved.</t>
  </si>
  <si>
    <t>CNR, Ist Chim Biomol, I-80078 Naples, Italy</t>
  </si>
  <si>
    <t>Consiglio Nazionale delle Ricerche (CNR); Istituto di Chimica Biomolecolare (ICB-CNR)</t>
  </si>
  <si>
    <t>CNR, Ist Chim Biomol, Via Campi Flegrei 34, I-80078 Naples, Italy.</t>
  </si>
  <si>
    <t>llama@icmib.na.cnr.it</t>
  </si>
  <si>
    <t>lama, licia/AAX-6572-2020</t>
  </si>
  <si>
    <t>lama, licia/0000-0003-3312-204X</t>
  </si>
  <si>
    <t>1769-7123</t>
  </si>
  <si>
    <t>10.1016/j.resmic.2004.02.001</t>
  </si>
  <si>
    <t>828XP</t>
  </si>
  <si>
    <t>WOS:000222007300010</t>
  </si>
  <si>
    <t>Hayward, SAL; Worland, MR; Convey, P; Bale, JS</t>
  </si>
  <si>
    <t>Habitat moisture availability and the local distribution of the Antarctic Collembola Cryptopygus antarcticus and Friesea grisea</t>
  </si>
  <si>
    <t>SOIL BIOLOGY &amp; BIOCHEMISTRY</t>
  </si>
  <si>
    <t>antarctic; collembola; moisture availability; habitat segregation</t>
  </si>
  <si>
    <t>TERRESTRIAL ARTHROPOD FAUNA; MOSS-TURF HABITAT; WATER-LOSS; ALASKOZETES-ANTARCTICUS; TEMPERATURE; PENINSULA; ISLAND; MITES; HYGROPREFERENCE; COMMUNITIES</t>
  </si>
  <si>
    <t>Population densities of the Collembola Cryptopygus antarcticus and Friesea grisea were compared in two maritime Antarctic habitats with different moisture availability. C. antarcticus was absent from the drier rock platform habitat, where F. grisea was the only collembolan collected. In contrast, the sand/pebble habitat on East Beach had greater moisture availability, and C antarcticus dominated the arthropod community, with juveniles (individuals &lt; 1 mm length) representing 58% of the population. The hygropreference characteristics of F. grisea were determined in relative humidity (RH) gradients (12-98% RH) at 10 and 20 degreesC. F. grisea demonstrated a stronger preference for 98% RH conditions than C. antarcticus, suggesting that the former species is less likely to vacate moist refuges when available. The movement of both species was also monitored at 10 and 15 degreesC under conditions of 33, 75 and 100% RH. C. antarcticus was more active than F. grisea at both temperatures, and its movement increased at a greater rate as a consequence of reduced RH. The limited desiccation tolerance of C. antarcticus, combined with the increased water loss that would result from its continued movement under declining RH conditions, suggests this species is not well suited to drought-prone environments. In contrast, the reduced movement and 'risk averse' behavioural strategy of F. grisea, i.e. taking advantage of moist refuges when available, facilitates water conservation between precipitation/habitat rehydration events. This study provides the first evidence that moisture availability and habitat structure are potential habitat segregation mechanisms between these two Antarctic Collembola. (C) 2004 Elsevier Ltd. All rights reserved.</t>
  </si>
  <si>
    <t>Univ Birmingham, Sch Biosci, Birmingham B15 2TT, W Midlands, England; British Antarctic Survey, NERC, Cambridge CB3 0ET, England</t>
  </si>
  <si>
    <t>Hayward, SAL (corresponding author), Ohio State Univ, Dept Entomol, 1735 Neil Ave,318 W 12th Ave, Columbus, OH 43210 USA.</t>
  </si>
  <si>
    <t>hayward.23@osu.edu</t>
  </si>
  <si>
    <t>Convey, Peter/0000-0001-8497-9903; Hayward, Scott/0000-0002-1899-6630</t>
  </si>
  <si>
    <t>0038-0717</t>
  </si>
  <si>
    <t>SOIL BIOL BIOCHEM</t>
  </si>
  <si>
    <t>Soil Biol. Biochem.</t>
  </si>
  <si>
    <t>10.1016/j.soilbio.2004.02.007</t>
  </si>
  <si>
    <t>Soil Science</t>
  </si>
  <si>
    <t>Agriculture</t>
  </si>
  <si>
    <t>826SM</t>
  </si>
  <si>
    <t>WOS:000221848900006</t>
  </si>
  <si>
    <t>Okamoto, T; Maruyama, A; Imura, S; Takeyama, H; Naganuma, T</t>
  </si>
  <si>
    <t>Comparative phylogenetic analyses of Halomonas variabilis and related organisms based on sequences 16S rRNA, gyrB and ectBC gene sequences</t>
  </si>
  <si>
    <t>Halomonas variabilis; euryhaline halophile; 16S rDNA; gyrB; ectBC; cosmopolitan</t>
  </si>
  <si>
    <t>COMPATIBLE SOLUTE ECTOINE; NUCLEOTIDE-SEQUENCES; BACTERIA; BIOSYNTHESIS; PSEUDOMONAS; ELONGATA; HALOTOLERANT; STRAINS</t>
  </si>
  <si>
    <t>Halomonas variabilis and phylogenetically related organisms were isolated from various habitats such as Antarctic terrain and saline ponds, deep-sea sediment, deep-sea waters affected by hydrothermal plumes, and hydrothermal vent fluids. Ten strains were selected for physiological and phylogenetic characterization in detail. All of those strains were found to be piezotolerant and psychrotolerant, as well as euryhaline halophilic or halotolerant. Their stress tolerance may facilitate their wide occurrence, even in so-called extreme environments. The 16S rDNA-based phylogenetic relationship was complemented by analyses of the DNA gyrase subunit B gene (gyrB) and genes involved in the synthesis of the major compatible solute, ectoine: diaminobutyric acid aminotransferase gene (ectB) and ectoine synthase gene (ectC). The phylogenetic relationships of H. variabilis and related organisms were very similar in terms of 16S rDNA, gyrB, and ectB. The ectC-based tree was inconsistent with the other phylogenetic trees. For that reason, ectC was inferred to derive from horizontal transfer.</t>
  </si>
  <si>
    <t>Hiroshima Univ, Sch Biosphere Sci, Higashihiroshima 7398528, Japan; Natl Inst Adv Ind Sci &amp; Technol, Res Inst Biol Resources, Tsukuba, Ibaraki, Japan; Natl Inst Polar Res, Tokyo, Tokyo, Japan; Tokyo Univ Agr &amp; Technol, Fac Technol, Dept Biotechnol, Koganei, Tokyo, Japan</t>
  </si>
  <si>
    <t>Hiroshima University; National Institute of Advanced Industrial Science &amp; Technology (AIST); Research Organization of Information &amp; Systems (ROIS); National Institute of Polar Research (NIPR) - Japan; Tokyo University of Agriculture &amp; Technology</t>
  </si>
  <si>
    <t>Hiroshima Univ, Sch Biosphere Sci, 1-4-4 Kagamiyama, Higashihiroshima 7398528, Japan.</t>
  </si>
  <si>
    <t>takn@hiroshima-u.ac.jp</t>
  </si>
  <si>
    <t>Okamoto, Takuji/N-5941-2016; Naganuma, Takeshi/AAX-7064-2021</t>
  </si>
  <si>
    <t>Okamoto, Takuji/0000-0002-4103-3330; Naganuma, Takeshi/0000-0003-1925-9461</t>
  </si>
  <si>
    <t>ELSEVIER GMBH</t>
  </si>
  <si>
    <t>MUNICH</t>
  </si>
  <si>
    <t>HACKERBRUCKE 6, 80335 MUNICH, GERMANY</t>
  </si>
  <si>
    <t>10.1078/0723-2020-00271</t>
  </si>
  <si>
    <t>829FM</t>
  </si>
  <si>
    <t>WOS:000222032100008</t>
  </si>
  <si>
    <t>Muranishi, Y; Sasaki, M; Hayashi, K; Abe, N; Fujihira, T; Ishikawa, H; Ohsumi, S; Miyamoto, A; Fukui, Y</t>
  </si>
  <si>
    <t>Relationship between the appearance of preantral follicles in the fetal ovary of Antarctic minke whales (Balaenoptera bonaerensis) and hormone concentrations in the fetal heart, umbilical cord and maternal blood</t>
  </si>
  <si>
    <t>ZYGOTE</t>
  </si>
  <si>
    <t>gonadotropins; minke whale; preantral follicle; steroids</t>
  </si>
  <si>
    <t>ACUTOROSTRATA FOLLICULAR OOCYTES; IN-VITRO MATURATION; PRIMORDIAL FOLLICLES; MECHANICAL ISOLATION; ENZYME-IMMUNOASSAY; BOVINE OVARIES; MOUSE OOCYTES; GROWTH; PLASMA; ENDOTHELIN-1</t>
  </si>
  <si>
    <t>The present study aimed to determine the relationship among changes in the number of preantral follicles and concentrations of follicle-stimulating hormone (FSH), luteinizing hormone (LH), progesterone (P-4), androstenedione (A) and estradiol-17beta (E-2) in the fetal heart, umbilical cord and maternal blood. Primordial follicles had already appeared in a 20 cm fetus and primary follicles were observed in a 50 cm fetus. In a 70 cm fetus, the number of primordial and primary follicles increased rapidly and secondary follicles were present. The concentrations of LH and FSH id not change between 20 cm and 160 cm in fetal length. When the fetal length became &gt; 70 cm, serum levels in the fetus, umbilical cord and mothers, and E-2 levels in umbilical cord increased synchronously (p &lt; 0.05). These results showed increases in the number of preantral follicles in the Antarctic minke whale fetal ovary along with fetal growth during the early gestation period. These findings suggest that the change in preantral follicles was associated with changes in the concentration of steroids in early gestation periods. The changes in steroid concentrations in the fetal and umbilical cord blood and the increased number of preantral follicles were coincident at around 70 cm in fetal length, whereas the growth and differentiation of primordial and primary follicles appeared to be independent of FSH and LH.</t>
  </si>
  <si>
    <t>Obihiro Univ Agr &amp; Vet Med, Dept Food Prod Sci, Obihiro, Hokkaido 0808555, Japan; Inst Cetacean Res, Tokyo, Japan</t>
  </si>
  <si>
    <t>Fukui, Y (corresponding author), Obihiro Univ Agr &amp; Vet Med, Dept Food Prod Sci, Obihiro, Hokkaido 0808555, Japan.</t>
  </si>
  <si>
    <t>0967-1994</t>
  </si>
  <si>
    <t>1469-8730</t>
  </si>
  <si>
    <t>Zygote</t>
  </si>
  <si>
    <t>10.1017/S0967199404002655</t>
  </si>
  <si>
    <t>Cell Biology; Developmental Biology; Reproductive Biology</t>
  </si>
  <si>
    <t>853BU</t>
  </si>
  <si>
    <t>WOS:000223802000005</t>
  </si>
  <si>
    <t>Glikson, AY; Allen, C; Vickers, J</t>
  </si>
  <si>
    <t>Multiple 3.47-Ga-old asteroid impact fallout units, Pilbara Craton, Western Australia</t>
  </si>
  <si>
    <t>microkrystites; impact; tsunami; Archaean; Pilbara</t>
  </si>
  <si>
    <t>PRECAMBRIAN HAMERSLEY BASIN; SPHERULE BEDS; SOUTH-AFRICA; RECORD; EVOLUTION; CRUSTAL; ORIGIN; LAYER</t>
  </si>
  <si>
    <t>A new microkrystite spherule-bearing diamictite is reported from below the impact spherule-bearing 3.47 Ga Antarctic Chert Member (ACM) at the base of the Apex Basalt, central Pilbara Craton, Western Australia [1,5]. The diamictite, defined as ACM-S2, consists of 0.6-0.8-m-thick spherule-bearing pebble to cobble-size chert-intraclast conglomerate separated from the main ACM-S3 by a similar to 200-m-thick dolerite and similar to 30-m-thick felsic hypabyssals. The microkrystite spherules are discriminated from angular to subangular detrital volcanic fragments by their high sphericities, inward-radiating fans of sericite pseudomorphs after K-feldspar, relic quench textures and Ni-Cr-Co relations. Scanning Electron Microscopy coupled with E-probe (EDS) and laser ICPMS-analysis indicate high Ni and Cr in sericite-dominated spherules suggesting mafic composition of source crust. Ni/Cr and Ni/Co ratios of the spherules are higher.-than in associated Archaean tholeiitic basalts and high-Mg basalts, rendering possible contamination by high Ni/Cr and Ni/Co chondritic components. The presence of multiple bands and lenses of spherules within chert and scattered spherules in arenite bands within S3 may signify redeposition of a single impact fallout unit or, alternatively, multiple impacts. Controlling parameters include: (1) spherule atmospheric residence time; (2) precipitation rates of colloidal silica; (3) solidification rates of colloidal silica; (4) arenite and spherule redeposition rates, and (5) arrival of the tsunami. The presence of spherule-bearing chert fragments in S3 may hint at an older spherule-bearing chert (?S1). Only a minor proportion of spherules is broken and the near-perfect sphericities of chert-hosted spherules and arenite-hosted spherules constrain the extent of shallow water winnowing of the originally delicate glass spherules. It is suggested that the spherules were either protected by rapid burial or, alternatively, disturbance was limited to a short term high energy perturbation such as may have been affected by a deep-amplitude impact-triggered tsunami wave. (C) 2004 Elsevier B.V. All rights reserved.</t>
  </si>
  <si>
    <t>Australian Natl Univ, Res Sch Earth Sci, Canberra, ACT 0200, Australia; Australian Natl Univ, Dept Geol, Canberra, ACT 0200, Australia</t>
  </si>
  <si>
    <t>Australian National University; Australian National University</t>
  </si>
  <si>
    <t>Australian Natl Univ, Res Sch Earth Sci, Canberra, ACT 0200, Australia.</t>
  </si>
  <si>
    <t>andrew.glikson@anu.edu.au</t>
  </si>
  <si>
    <t>Allen, Charlotte Mary/0000-0002-7288-6758</t>
  </si>
  <si>
    <t>APR 30</t>
  </si>
  <si>
    <t>10.1016/S0012-821X(04)00104-9</t>
  </si>
  <si>
    <t>813ZH</t>
  </si>
  <si>
    <t>WOS:000220944500026</t>
  </si>
  <si>
    <t>Carter, L; Carter, RM; McCave, IN</t>
  </si>
  <si>
    <t>Evolution of the sedimentary system beneath the deep Pacific inflow off eastern New Zealand</t>
  </si>
  <si>
    <t>deep western boundary current; sediment recycling; ocean drilling program; New Zealand</t>
  </si>
  <si>
    <t>WESTERN-BOUNDARY CURRENT; SOUTH ATLANTIC-OCEAN; ANTARCTIC ICE-SHEET; CONTINENTAL-SHELF; BOUNTY CHANNEL; NORTH-ISLAND; CHATHAM RISE; SEA-LEVEL; MARSHALL PARACONFORMITY; CENOZOIC EVOLUTION</t>
  </si>
  <si>
    <t>Results from Ocean Drilling Program sites 1121-1124 show the Eastern New Zealand Oceanic Sedimentary System (ENZOSS) evolved in response to: (1) the inception of the circum-Antarctic circulation, (2) orbital and non-orbital regulation of the global thermohaline flow, and (3) development of the New Zealand plate boundary. ENZOSS began in the early Oligocene following opening of the Tasmanian gateway and inception of the ancestral Antarctic Circumpolar Current (ACC) and SW Pacific Deep Western Boundary Current (DWBC). Widespread erosion. marked by the Marshall Paraconformity, was followed by extensive drift formation in the late Oligocene-early Miocene. Alternating nannofossil chalk and nannofossil-rich mud deposited in response to 41-kyr orbital regulation of the abyssal circulation, with the mudstones representing times of increased inflow of corrosive southern-source waters. Drift deposition at the deepest sites was interrupted by bouts of erosion coincident with Mil-5 isotopic events signifying expansions of the East Antarctic Ice Sheet and enhanced bottom water formation. By late Miocene times, the basic ENZOSS was established. South of Bounty Trough, the energetic ACC instigated an erosional/low depositional regime. To the north, where the DWBC prevailed, orbitally regulated drift deposition continued. Increased convergence at the New Zealand plate boundary enhanced the terrigenous supply, but little of this sediment reached the deep ENZOSS as the three main sediment conduits - Solander, Bounty and Hikurangi channels - had not fully developed. The Plio-Pleistocene heralded a change from a carbonate- to terrigenous-dominant supply caused by interception of the DWBC by the three channels (similar to1.6 Ma for Bounty and Hikurangi, time of Solander interception unknown). The Solander and Bounty fans, and Hikurangi Fan-drift systems formed, and drifts downstream of those systems, received terrigenous detritus. Supply increased with accelerating uplift along the plate boundary, but delivery to the DWBC was regulated by eustatic fluctuations of sea level. Times of maximum supply to all three channels was during glacial lowstands whereas the supply either ceased (Bounty, Solander), or reduced (Hikurangi) in highstands. In glacial times, sediment was entrained by a DWBC invigorated by an increased input of Antarctic bottom water. The ACC also accelerated under strengthened glacial winds. Thus, glacials were times of optimum sediment supply to ENZOSS depocentres where depositional rates were 2-3 times more than interglacial rates. (C) 2004 Elsevier B.V. All rights reserved.</t>
  </si>
  <si>
    <t>Natl Inst Water &amp; Atmosphere, Wellington, New Zealand; James Cook Univ, Townsville, Qld 4811, Australia; Univ Cambridge, Dept Earth Sci, Cambridge CB2 3EQ, England</t>
  </si>
  <si>
    <t>National Institute of Water &amp; Atmospheric Research (NIWA) - New Zealand; James Cook University; University of Cambridge</t>
  </si>
  <si>
    <t>Natl Inst Water &amp; Atmosphere, POB 14901, Wellington, New Zealand.</t>
  </si>
  <si>
    <t>l.carter@niwa.cri.nz</t>
  </si>
  <si>
    <t>McCave, Nick N/G-7323-2016; McCave, I. Nick/O-3992-2018</t>
  </si>
  <si>
    <t>McCave, Nick N/0000-0002-4702-5489; McCave, I. Nick/0000-0002-4702-5489</t>
  </si>
  <si>
    <t>10.1016/S0025-3227(04)00016-7</t>
  </si>
  <si>
    <t>814PR</t>
  </si>
  <si>
    <t>WOS:000220987100002</t>
  </si>
  <si>
    <t>Hayward, BW; Grenfell, HR; Carter, R; Hayward, JJ</t>
  </si>
  <si>
    <t>Benthic foraminiferal proxy evidence for the Neogene palaeoceanographic history of the Southwest Pacific, east of New Zealand</t>
  </si>
  <si>
    <t>Southwest Pacific; Neogene; palaeoceanography; New Zealand; benthic foraminifera; productivity; chatham rise; campbell plateau; ocean drilling program leg 181</t>
  </si>
  <si>
    <t>WESTERN-BOUNDARY CURRENT; SEA DRILLING PROJECT; SOUTHEASTERN NEW-ZEALAND; SOUTHERN-OCEAN; CHATHAM RISE; SUBTROPICAL CONVERGENCE; SURFACE TEMPERATURES; EQUATORIAL PACIFIC; AUSTRAL WINTER; ATLANTIC-OCEAN</t>
  </si>
  <si>
    <t>Canonical correspondence analysis indicates that the distribution of Neogene benthic foraminiferal faunas (&gt; 63 pin) in seven DSDP and ODP sites (500-4500 m water depth) east of New Zealand (38-51degreesS, 170degreesE-170degreesW) is most strongly influenced by depth (water mass stratification), and secondly by age (palaeoceanographic changes influencing faunal composition and biotic evolution). Stratigraphic faunal changes are interpretted in terms of the pulsed sequential development of southern, and later northern, polar glaciation and consequent cooling of bottom waters, increased vertical and lateral stratification of ocean water masses, and increased overall and seasonal surface water productivity. Oligocene initiation of the Antarctic Circumpolar Current and Deep Western Boundary Current (DWBC). flowing northwards past New Zealand, resulted in extensive hiatuses throughout the Southwest Pacific, some extending through into the Miocene. Planktic foraminiferal fragmentation index values indicate that carbonate dissolution was significant at abyssal depths throughout most of the Neogene, peaking at upper abyssal depths in the late Miocene (11-7 Ma), with the lysocline progressively deepened thereafter. Miocene abyssal faunas are dominated by Globocassidulina subglobosa and Oridorsalis umbonatus, with increasing Epistominella exigua after 16 Ma at upper abyssal depths. Peak abundances of Epistominella umbonifera indicate increased input of cold Southern Component Water to the DWBC at 7-6 Ma. Faunal association changes imply establishment of the modern Oxygen Minimum Zone (upper Circumpolar Deep Water) in the latest Miocene. Significant latitudinal differences between the benthic foraminiferal faunas at lower bathyal depths indicate the existence of an oceanic front along the Chatham Rise (location of present Subtropical Front), since the early late Miocene at least, with more pulsed productivity (higher E. exigua) along the south side. Modern Antarctic Intermediate Water faunal associations were established north of the Chatham Rise at 10-9 Ma, and south of it at 3-1.5 Ma. Middle-upper bathyal faunas on the Campbell Plateau are dominated by reticulate bolivinids during the early and middle Miocene, indicative of sustained productivity above relatively sluggish, suboxic bottom waters. Faunal changes and hiatuses indicate increased current vigour over the Campbell Plateau from the latest Miocene on. Surface water productivity (food supply) appears to have increased in three steps (at times of enhanced global cooling) marked by substantially increased relative abundance of: (1) Abditodentrix pseudothalmanni, Alabaminella weddellensis, Cassidulina norvangi (16-15 Ma, increased pulsed productivity): (2) Bulimina marginata f. aculeata, Nonionella auris. Trifarina angulosa, Uvigerina peregrine (3-1.5 Ma. increased overall productivity); and (3) Cassidulina carinata (1-0.5 Ma, increased overall productivity). Three intervals of deep-sea benthic foraminiferal taxonomic turnover are recognised (16-15, 11.5-10, 2-0.5 Ma) corresponding to intervals of enhanced global cooling and possible productivity changes. The late Pliocene-middle Pleistocene extinction, associated with increasing Northern Hemisphere glaciation, culminating in the middle Pleistocene climatic transition, was more significant in the study area than the earlier Neogene turnovers. (C) 2004 Elsevier B.V. All rights reserved.</t>
  </si>
  <si>
    <t>Univ Auckland, Dept Geol, Auckland, New Zealand; N Shore City Council, Auckland, New Zealand</t>
  </si>
  <si>
    <t>Univ Auckland, Dept Geol, Private Bag 92019, Auckland, New Zealand.</t>
  </si>
  <si>
    <t>b.hayward@auckland.ac.nz</t>
  </si>
  <si>
    <t>10.1016/S0025-3227(04)00022-2</t>
  </si>
  <si>
    <t>WOS:000220987100008</t>
  </si>
  <si>
    <t>Joseph, LH; Rea, DK; van der Pluijm, BA</t>
  </si>
  <si>
    <t>Neogene history of the Deep Western Boundary Current at Rekohu sediment drift, Southwest Pacific (ODP Site 1124)</t>
  </si>
  <si>
    <t>paleoclimate; Southwest Pacific Deep Western Boundary Current; antarctic circumpolar current; ocean gateways; ODP Site 1124; grain size and magnetic fabric analysis</t>
  </si>
  <si>
    <t>SOUTHERN-OCEAN; CENOZOIC EVOLUTION; NEW-ZEALAND; GRAIN-SIZE; CIRCULATION; MIOCENE; SEA; PLATE; EAST; BENEATH</t>
  </si>
  <si>
    <t>ODP Site 1124. located 600 km east of the North Island of New Zealand, records post-middle Oligocene variations in the Pacific Deep Western Boundary Current (DWBC) and New Zealand's climatic and tectonic evolution. Sediment parameters, such as terrigenous grain size, flux, magnetic fabric, and non-depositional episodes, are used to interpret DWBC intensity and Antarctic climate. Interpretations of DWBC velocities indicate that the Antarctic Circumpolar Current reached modern intensities at similar to23 Ma, as the tectonic seaways expanded, completing the thermal isolation of Antarctica. Periods of more intense bottom water formation are suggested by the presence of hiatuses formed under the DWBC at 22.5-17.6, 16.5-15, and 14-11 Ma. The oldest interval of high current intensity occurs within a climatically warm period during which the intensity of thermohaline circulation around Antarctica increased as a result of recent opening of circum-Antarctic gateways. The younger hiatuses represent glacial periods on Antarctica and major fluctuations in the East Antarctic Ice Sheet, whereas intervals around the hiatuses represent times of relative warmth, but with continued current activity. The period between I I to 9 Ma is characterized by conditions surrounding a high velocity DWBC around the time of the formation and stabilization of the West Antarctic Ice Sheet. The increased terrigenous input may result from either changing Antarctic conditions or more direct sediment transport from New Zealand. The Pacific DWBC did not exert a major influence on sedimentation at Site 1124 from 9 Ma to the present; the late Miocene to Pleistocene sequence is more influenced by the climatic and tectonic history of New Zealand. Despite the apparent potential for increased sediment supply to this site from changes in sediment channeling, increasing rates of mountain uplift, and volcanic activity, terrigenous fluxes remain low and constant throughout this younger period. (C) 2004 Elsevier B.V. All rights reserved.</t>
  </si>
  <si>
    <t>Univ Michigan, Dept Geol Sci, Ann Arbor, MI 48109 USA</t>
  </si>
  <si>
    <t>Hobart &amp; William Smith Coll, Dept Geosci, Environm Studies Program, Geneva, NY 14456 USA.</t>
  </si>
  <si>
    <t>ljoseph@hws.edu; davidrea@umich.edu; vdpluijm@umich.edu</t>
  </si>
  <si>
    <t>van der Pluijm, Ben/M-3155-2019</t>
  </si>
  <si>
    <t>van der Pluijm, Ben/0000-0001-7737-2791</t>
  </si>
  <si>
    <t>10.1016/S0025-3227(04)00023-4</t>
  </si>
  <si>
    <t>WOS:000220987100009</t>
  </si>
  <si>
    <t>Agustí, S; Satta, MP; Mura, MP</t>
  </si>
  <si>
    <t>Summer community respiration and pelagic metabolism in upper surface Antarctic waters</t>
  </si>
  <si>
    <t>Antarctic Ocean; plankton metabolism; community respiration; gross primary production; net community production</t>
  </si>
  <si>
    <t>DISSOLVED-OXYGEN; AUSTRAL SUMMER; COASTAL WATERS; CARBON BALANCE; SOUTHERN-OCEAN; WINKLER METHOD; WEDDELL SEA; ROSS SEA; BACTERIOPLANKTON; PHYTOPLANKTON</t>
  </si>
  <si>
    <t>Microplanktonic community respiration (R) and net community production (NCP) in upper surface waters around the Antarctic Peninsula were studied in the summers of 1993, 1994 and 2000. Data on pelagic community metabolism from upper surface Antarctic waters (N = 27) were collected from the literature and included in the analysis (N = 96). The variability of phytoplankton chl a concentration found was high, ranging from 0.06 to 16.75 mg m(-3) d(-1). R rates varied from 0.19 to 11.03 mmol O-2 m(-3) d(-1) and were not related to chl a concentration. The variability in daily NCP rates was higher than that found for R, ranging from -6.29 to 35.4 mmol O-2 m(-3) d(-1), and was positively related to chl a concentration (R-2 = 0.46). NCP rates were often negative (53% of the observations) in the 1993 survey, indicative of community respiration in excess of primary production. Negative NCP was less frequent during the 1994 and 2000 cruises and in the literature data (18, 7 and 4% of the observations, respectively). A positive and strong relationship (R-2 = 0.92) was observed between NCP and gross primary production (GPP), whereas R was independent of GPP. The relationships found imply that changes in GPP play a dominant role in the control of net planktonic metabolism in Antarctic waters, allowing excess carbon to be fixed by phytoplankton during phytoplankton blooms. In contrast, unproductive Antarctic communities (&lt;0.064 g O-2 m(-3) d(-1)) tend to be net heterotrophic, thereby representing CO2 sources, rather than sinks. Since phytoplankton-poor waters extend over most of the Southern Ocean, these results stress the need to evaluate their role in oceanic carbon flow on the basis of a more comprehensive temporal and spatial data set.</t>
  </si>
  <si>
    <t>UIB, CSIC, Inst Mediterraneo Estudios Avanzados, IMEDEA, Esporles 07190, Mallorca, Spain; CSIC, Ctr Estudios Avanzados Blanes, Blanes 17300, Girona, Spain</t>
  </si>
  <si>
    <t>Universitat de les Illes Balears; Consejo Superior de Investigaciones Cientificas (CSIC); ATTITUS Educacao; Consejo Superior de Investigaciones Cientificas (CSIC); CSIC - Centre d'Estudis Avancats de Blanes (CEAB)</t>
  </si>
  <si>
    <t>Agustí, S (corresponding author), UIB, CSIC, Inst Mediterraneo Estudios Avanzados, IMEDEA, Miquel Marques 21, Esporles 07190, Mallorca, Spain.</t>
  </si>
  <si>
    <t>sagusti@uib.es</t>
  </si>
  <si>
    <t>Agusti, Susana/H-8421-2012; Agusti, Susana/G-2864-2017</t>
  </si>
  <si>
    <t>Agusti, Susana/0000-0003-0536-7293</t>
  </si>
  <si>
    <t>APR 28</t>
  </si>
  <si>
    <t>823IG</t>
  </si>
  <si>
    <t>WOS:000221603500009</t>
  </si>
  <si>
    <t>Cede, A; Luccini, E; Nuñez, L; Piacentini, RD; Blumthaler, M; Herman, JR</t>
  </si>
  <si>
    <t>TOMS-derived erythemal irradiance versus measurements at the stations of the Argentine UV Monitoring Network -: art. no. D08109</t>
  </si>
  <si>
    <t>erythemal irradiance; satellite-derived data; ground-based measurements</t>
  </si>
  <si>
    <t>SURFACE UV; TOTAL OZONE; SATELLITE ESTIMATION; ULTRAVIOLET-RADIATION; CLIMATOLOGY; RETRIEVALS; ALGORITHM; MODEL; NM</t>
  </si>
  <si>
    <t>[1] The major factors causing differences between satellite-derived and ground-based ultraviolet (UV) erythemal irradiances and doses are discussed. Measurements totaling more than 4700 days during 1997-1999 were obtained at 8 stations (22degreesS-64degreesS) of the Argentine UV Monitoring Network. The satellite retrieval uses radiative transfer calculations for cloud- and aerosol-free conditions multiplied by correction factors for clouds and aerosols. Key parameters are total ozone, cloud optical depth, and surface albedo derived from Total Ozone Mapping Spectrometer ( TOMS). When no aerosol correction is applied, systematic differences of satellite-derived erythemal irradiance relative to ground-based measurements amount to +1% at a tropical high-altitude Andean location, +10% at stations in the central Pampas, +5% at southern Patagonian sites, and -7% at the southernmost continental and Antarctic stations with varying snow cover. When an aerosol correction is applied by estimating minimum'' and maximum'' aerosol loading, the systematic differences are within +/-10% for all snow-free'' stations. To reduce the differences at places with varying snow conditions, an average surface-albedo climatology'' must be used instead the TOMS climatology of minimum albedo. Although the statistical uncertainty of the differences increases with TOMS reflectivity, the systematic difference is independent of TOMS reflectivity for most of the stations, so on average the comparison for cloudy situations is as good as for clear-sky conditions. The comparison for daily erythemal doses gives similar results with smaller statistical uncertainty. Measured uncertainties are in agreement with a theoretical analysis. For most locations, well-characterized ground-based instruments should agree with TOMS satellite estimations within 10% if aerosol corrections are known.</t>
  </si>
  <si>
    <t>Sci Syst &amp; Applicat Inc, Lanham, MD USA; Univ Nacl Rosario, CONICET, Inst Fis Rosario, Rosario, Argentina; Univ Nacl Rosario, Fac Ciencias Exactas Ingn &amp; Agrimensura, Rosario, Argentina; Univ Innsbruck, Inst Med Phys, A-6020 Innsbruck, Austria</t>
  </si>
  <si>
    <t>Science Systems and Applications Inc; National University of Rosario; Consejo Nacional de Investigaciones Cientificas y Tecnicas (CONICET); National University of Rosario; University of Innsbruck</t>
  </si>
  <si>
    <t>NASA, Goddard Space Flight Ctr, Greenbelt, MD 20771 USA.</t>
  </si>
  <si>
    <t>cede@gsfc.nasa.gov</t>
  </si>
  <si>
    <t>Herman, Jay/0000-0002-9146-1632</t>
  </si>
  <si>
    <t>APR 27</t>
  </si>
  <si>
    <t>D8</t>
  </si>
  <si>
    <t>D08109</t>
  </si>
  <si>
    <t>10.1029/2004JD004519</t>
  </si>
  <si>
    <t>819OR</t>
  </si>
  <si>
    <t>WOS:000221325000007</t>
  </si>
  <si>
    <t>Arbetter, TE; Lynch, AH; Bailey, DA</t>
  </si>
  <si>
    <t>Relationship between synoptic forcing and polynya formation in the Cosmonaut Sea: 1. Polynya climatology</t>
  </si>
  <si>
    <t>Antarctic; polynya; climatology</t>
  </si>
  <si>
    <t>ICE MOTION; MODEL; CIRCULATION; OCEAN; VARIABILITY; ATMOSPHERE; WINDS</t>
  </si>
  <si>
    <t>[1] A polynya has been observed in satellite imagery to occur irregularly between the months of July and October in the Cosmonaut Sea. To investigate the processes of formation, maintenance, and decay of these polynyas, a 13-year climatology of Antarctic atmospheric and surface conditions is assembled from numerical weather prediction model analyses and remotely sensed satellite observations. An analytical technique used previously to identify and track atmospheric low pressure systems is modified to identify polynyas from daily analyses of sea ice area. This information is used to prepare a set of monthly climatological conditions as well as their anomalies when a polynya is present. Previous studies have suggested a link between atmospheric forcing and polynya formation. Along with the drop in sea ice area, there is a drop in sea level pressure as well as an increase in atmospheric wind divergence when the Cosmonaut Sea polynya is present. In some months, the sea ice area decrease is preceded by the passage of an atmospheric low pressure system 1 - 2 days earlier, but due to the continuous presence of katabatic winds and the coarseness of the ECMWF data, there is not as definitive a relationship between wind divergence and sea level pressure or ice area. Errors associated with the processing of passive microwave remotely sensed data, as well as differences in spatial scale limit that can be determined about the ocean state from the data sets, suggest the need for improved surface classification techniques, as well as regional modeling studies.</t>
  </si>
  <si>
    <t>Ctr OceanLand Atmosphere Studies, Beltsville, MD 20705 USA; Univ Colorado, NOAA, Cooperat Inst Res Environm Sci, Program Atmospher &amp; Ocean Sci, Boulder, CO 80309 USA</t>
  </si>
  <si>
    <t>University of Colorado System; University of Colorado Boulder; National Oceanic Atmospheric Admin (NOAA) - USA</t>
  </si>
  <si>
    <t>Arbetter, TE (corresponding author), Univ Colorado, Natl Snow &amp; Ice Data Ctr, UCB 449, Boulder, CO 80303 USA.</t>
  </si>
  <si>
    <t>todd.arbetter@colorado.edu; amanda.lynch@arts.monash.edu.au; bailey@cola.iges.org</t>
  </si>
  <si>
    <t>Lynch, Amanda/B-4278-2011</t>
  </si>
  <si>
    <t>Lynch, Amanda/0000-0003-2990-1016; Bailey, David/0000-0002-6584-0663</t>
  </si>
  <si>
    <t>APR 24</t>
  </si>
  <si>
    <t>C4</t>
  </si>
  <si>
    <t>C04022</t>
  </si>
  <si>
    <t>10.1029/2003JC001837</t>
  </si>
  <si>
    <t>816CA</t>
  </si>
  <si>
    <t>WOS:000221086800001</t>
  </si>
  <si>
    <t>Ogura, T; Abe-Ouchi, A; Hasumi, H</t>
  </si>
  <si>
    <t>Effects of sea ice dynamics on the Antarctic sea ice distribution in a coupled ocean atmosphere model</t>
  </si>
  <si>
    <t>climate modeling; sea ice; atmosphere ocean interaction</t>
  </si>
  <si>
    <t>CLIMATE MODEL; SURFACE ALBEDO; SNOW COVER; SENSITIVITY; CIRCULATION; THICKNESS; CO2; SIMULATIONS; VARIABILITY; ROUGHNESS</t>
  </si>
  <si>
    <t>[1] Impact of sea ice dynamics on the Southern Ocean sea ice distribution is investigated using a coupled ocean-sea ice-atmosphere general circulation model (OAGCM) and a separate offline sea ice model driven by monthly mean climatological boundary conditions. Sea ice dynamics considerably affects sea ice distribution of the OAGCM as well as of the offline model. When sea ice dynamics (advection) is turned on, summer ice extent and winter ice thickness decrease in both models. Results of the OAGCM indicate that variation of clouds plays an important role when sea surface energy budget responds to the sea ice dynamics in summer. Surface wind field in summer responds to the sea ice dynamics so that northerly wind anomaly is directed to where sea ice retreats and air temperature is kept higher, leading to a positive feedback. In addition, meridional ocean circulation and upward ocean heat flux to the sea surface appear to be sensitive to the sea ice dynamics, which contributes to the response of winter sea ice thickness. Results obtained in the present study underline the importance of atmosphere-sea ice-ocean interaction when discussing the impact of sea ice dynamics on sea ice distribution.</t>
  </si>
  <si>
    <t>Univ Tokyo, Ctr Climate Syst Res, Meguro Ku, Tokyo 1538904, Japan</t>
  </si>
  <si>
    <t>Ogura, T (corresponding author), Univ Tokyo, Ctr Climate Syst Res, Meguro Ku, 4-6-1 Komaba, Tokyo 1538904, Japan.</t>
  </si>
  <si>
    <t>ogura@ccsr.u-tokyo.ac.jp</t>
  </si>
  <si>
    <t>Abe-Ouchi, Ayako A/M-6359-2013; 小倉, 知夫/I-3502-2018</t>
  </si>
  <si>
    <t>Abe-Ouchi, Ayako A/0000-0003-1745-5952;</t>
  </si>
  <si>
    <t>C04025</t>
  </si>
  <si>
    <t>10.1029/2003JC002022</t>
  </si>
  <si>
    <t>WOS:000221086800004</t>
  </si>
  <si>
    <t>Menk, FW; Mann, IR; Smith, AJ; Waters, CL; Clilverd, MA; Milling, DK</t>
  </si>
  <si>
    <t>Monitoring the plasmapause using geomagnetic field line resonances</t>
  </si>
  <si>
    <t>field line resonance; plasmapause; ULF resonances</t>
  </si>
  <si>
    <t>GROUND-BASED MAGNETOMETERS; WAVE-GUIDE MODES; OUTER PLASMASPHERE; MAGNETIC-FIELD; ELECTRON-DENSITY; WHISTLER OBSERVATIONS; ION COMPOSITION; ULF PULSATIONS; LOW LATITUDES; MASS DENSITY</t>
  </si>
  <si>
    <t>This paper discusses the use of ground magnetometer data to derive plasma mass density profiles of the dayside plasmapause region with spatial and temporal resolution in the range 0.15-0.4 R-E and 20-60 min. This is achieved using cross-phase techniques to identify field line resonance signatures that are not apparent in power spectra. Under quiet conditions, mass density profiles do not show a distinct plasmapause and closely resemble electron density profiles for similar conditions. Under more active conditions the plasmapause can be clearly identified, and its width can be resolved in about 20% of the cases. Spatial integration effects smooth the mass density profiles near the plasmapause boundaries, while comparison of the mass and electron densities allows estimates of the heavy ion mass loading. Temporal variations in the plasmapause position and plasmaspheric density depletions are readily resolved. Sudden changes in solar wind conditions cause a redistribution of plasma within similar to20 min, probably in response to penetration of the magnetospheric electric field into the plasmasphere. Field line resonances occur daily and provide a useful tool for investigating the plasmapause region, especially in conjunction with VLF whistler and in situ particle and imaging experiments. Furthermore, the extensive existing suites of magnetometer data permit retrospective studies of focus intervals.</t>
  </si>
  <si>
    <t>Univ Newcastle, Sch Math &amp; Phys Sci, Callaghan, NSW 2308, Australia; Univ Newcastle, Cooperat Res Ctr Satellite Syst, Callaghan, NSW 2308, Australia; Univ York, Dept Phys, York YO10 5DD, N Yorkshire, England; British Antarctic Survey, Cambridge CB3 0ET, England</t>
  </si>
  <si>
    <t>University of Newcastle; University of Newcastle; University of York - UK; UK Research &amp; Innovation (UKRI); Natural Environment Research Council (NERC); NERC British Antarctic Survey</t>
  </si>
  <si>
    <t>Univ Newcastle, Sch Math &amp; Phys Sci, Callaghan, NSW 2308, Australia.</t>
  </si>
  <si>
    <t>fred.menk@physics.org; imann@space.ualberta.ca; ajsm@bas.ac.uk; physpuls8@cc.newcastle.edu.au; macl@bas.ac.uk; dmilling@space.ualberta.ca</t>
  </si>
  <si>
    <t>Waters, Colin L/B-3086-2011; Menk, Frederick/A-2640-2009</t>
  </si>
  <si>
    <t>Waters, Colin L/0000-0003-2121-6962; Menk, Frederick/0000-0002-1154-6223</t>
  </si>
  <si>
    <t>APR 22</t>
  </si>
  <si>
    <t>A4</t>
  </si>
  <si>
    <t>A04216</t>
  </si>
  <si>
    <t>10.1029/2003JA010097</t>
  </si>
  <si>
    <t>816CJ</t>
  </si>
  <si>
    <t>WOS:000221087700001</t>
  </si>
  <si>
    <t>Ridgway, KR; Condie, SA</t>
  </si>
  <si>
    <t>The 5500-km-long boundary flow off western and southern Australia</t>
  </si>
  <si>
    <t>Leeuwin Current; boundary flow</t>
  </si>
  <si>
    <t>SEA-SURFACE TEMPERATURE; BAROCLINIC TRANSPORT VARIABILITY; ANTARCTIC CIRCUMPOLAR CURRENT; LEEUWIN CURRENT SOUTH; INDIAN-OCEAN; WIND STRESSES; CIRCULATION; SHELF; CURRENTS; CLIMATE</t>
  </si>
  <si>
    <t>The path of the shelf edge flow off southwestern Australia is documented using results from satellite altimetry and sea surface temperature (SST) and a climatogical in situ analysis. During Austral winter a continuous current is shown to extend from its origin at North West Cape to the southern tip of Tasmania, a distance of 5500 km. Satellite SST observations and surface buoy tracks confirm the location and continuity of the current trajectory. While the Leeuwin Current is forced by the strong alongshore pressure gradient associated with the meridional portion of the western Australian coastal boundary, our results suggest that the essentially zonal shelf edge flow along the southern Australian coast arises from the setup of coastal sea level by onshore Ekman flow driven by the winter westerly wind and possibly a further alongshore pressure gradient. The timing of these two different forcing mechanisms means that the west coast pressure gradient delivers the Leeuwin Current to the south coast just as the winds reverse and are thus able to maintain the eastward passage of the current. The shelf edge flow consists of two main water masses. A low-salinity, warm water type of tropical origin associated with the Leeuwin Current and a high-salinity, warm water inflow formed on the western end of the Great Australian Bight continental shelf. A naming convention is proposed, the Leeuwin Current representing flow from North West Cape to the Great Australian Bight (GAB); the South Australian Current, between the eastern GAB and western Bass Strait; and the Zeehan Current off western Tasmania.</t>
  </si>
  <si>
    <t>CSIRO Marine Res, Hobart, Tas 7001, Australia</t>
  </si>
  <si>
    <t>Ridgway, KR (corresponding author), CSIRO Marine Res, GPO Box 1538, Hobart, Tas 7001, Australia.</t>
  </si>
  <si>
    <t>ken.ridgway@csiro.au</t>
  </si>
  <si>
    <t>Condie, Scott A/C-2953-2012; Ridgway, Ken/AAA-4040-2019</t>
  </si>
  <si>
    <t>Ridgway, Ken/0000-0002-5861-1360</t>
  </si>
  <si>
    <t>APR 21</t>
  </si>
  <si>
    <t>C04017</t>
  </si>
  <si>
    <t>10.1029/2003JC001921</t>
  </si>
  <si>
    <t>816BZ</t>
  </si>
  <si>
    <t>WOS:000221086700002</t>
  </si>
  <si>
    <t>Ahrens, J; Bai, X; Barwick, SW; Bay, RC; Becka, T; Becker, KH; Bernardini, E; Bertrand, D; Binon, F; Biron, A; Böser, S; Botner, O; Bouchta, A; Bouhali, O; Burgess, T; Carius, S; Castermans, T; Chirkin, D; Conrad, J; Cooley, J; Cowen, DF; Davour, A; De Clercq, C; DeYoung, T; Desiati, P; Dewulf, JP; Dickinson, E; Doksus, P; Ekström, P; Engel, R; Evenson, P; Feser, T; Gaisser, TK; Ganugapati, R; Gaug, M; Geenen, H; Gerhardt, L; Goldschmidt, A; Hallgren, A; Halzen, F; Hanson, K; Hardtke, R; Hauschildt, T; Hellwig, M; Herquet, P; Hill, GC; Hinton, JA; Hughey, B; Hulth, PO; Hultqvist, K; Hundertmark, S; Jacobsen, J; Karle, A; Kim, J; Köpke, L; Kowalski, M; Kuehn, K; Lamoureux, JI; Leich, H; Leuthold, M; Lindahl, P; Liubarsky, I; Lloyd-Evans, J; Madsen, J; Mandli, K; Marciniewski, P; Martello, D; Matis, HS; McParland, CP; Messarius, T; Miller, TC; Minaeva, Y; Miocinovic, P; Mock, PC; Morse, R; Neunhöffer, T; Niessen, P; Nygren, DR; Ögelman, H; Olbrechts, P; de Los Heros, CP; Pohl, AC; Porrata, R; Price, PB; Przybylski, GT; Rawlins, K; Resconi, E; Rhode, W; Ribordy, M; Richter, S; Rochester, K; Martino, JR; Romenesko, P; Ross, D; Sander, HG; Schmidt, T; Schinarakis, K; Schlenstedt, S; Schneider, D; Schwarz, R; Silvestri, A; Solarz, M; Spiczak, GM; Spiering, C; Stamatikos, M; Stanev, T; Steele, D; Steffen, P; Stokstad, RG; Sulanke, KH; Taboada, I; Tilav, S; Walck, C; Wagner, W; Wang, YR; Watson, AA; Weinheimer, C; Wiebusch, CH; Wiedemann, C; Wischnewski, R; Wissing, H; Woschnagg, K; Wu, W; Yodh, G; Young, S</t>
  </si>
  <si>
    <t>Calibration and survey of AMANDA with the SPASE detectors</t>
  </si>
  <si>
    <t>cosmic rays; neutrino telescopes</t>
  </si>
  <si>
    <t>AIR-SHOWER EXPERIMENT; SOUTH-POLE; POINT SOURCES; SEARCH</t>
  </si>
  <si>
    <t>We report on the analysis of air showers observed in coincidence by the Antarctic Muon and Neutrino detector array (AMANDA-B10) and the South Pole Air Shower Experiment (SPASE-1 and SPASE-2). We discuss the use of coincident events for calibration and survey of the deep AMANDA detector as well as the response of AMANDA to muon bundles. This analysis uses data taken during 1997 when both SPASE-1 and SPASE-2 were in operation to provide a stereo view of AMANDA. (C) 2003 Elsevier B.V. All rights reserved.</t>
  </si>
  <si>
    <t>Univ Delaware, Bartol Res Inst, Newark, DE 19716 USA; Johannes Gutenberg Univ Mainz, Inst Phys, D-55099 Mainz, Germany; Univ Calif Irvine, Dept Phys &amp; Astron, Irvine, CA 92697 USA; Univ Calif Berkeley, Dept Phys, Berkeley, CA 94720 USA; Berg Univ Wuppertal, Fachbereich Phys 8, D-42097 Wuppertal, Germany; DESY Zeuthen, D-15735 Zeuthen, Germany; Free Univ Brussels, Fac Sci, B-1050 Brussels, Belgium; Uppsala Univ, Div High Energy Phys, S-75121 Uppsala, Sweden; Univ Stockholm, Dept Phys, S-10691 Stockholm, Sweden; Kalmar Univ, Dept Technol, S-39182 Kalmar, Sweden; Univ Mons, B-7000 Mons, Belgium; Univ Wisconsin, Dept Phys, Madison, WI 53706 USA; Penn State Univ, Dept Phys, University Pk, PA 16802 USA; Free Univ Brussels, Dienst ELEM, B-1050 Brussels, Belgium; Univ Leeds, Leeds LS2 9JT, W Yorkshire, England; Univ Calif Berkeley, Lawrence Berkeley Lab, Berkeley, CA 94720 USA; Univ London Imperial Coll Sci Technol &amp; Med, London SW7 2AZ, England; Univ Wisconsin, Dept Phys, River Falls, WI 54022 USA; Univ Simon Bolivar, Dept Fis, Caracas 1080A, Venezuela</t>
  </si>
  <si>
    <t>University of Delaware; Johannes Gutenberg University of Mainz; University of California System; University of California Irvine; University of California System; University of California Berkeley; University of Wuppertal; Helmholtz Association; Deutsches Elektronen-Synchrotron (DESY); Universite Libre de Bruxelles; Uppsala University; Stockholm University; University of Kalmar; Linnaeus University; University of Mons; University of Wisconsin System; University of Wisconsin Madison; Pennsylvania Commonwealth System of Higher Education (PCSHE); Pennsylvania State University; Pennsylvania State University - University Park; Universite Libre de Bruxelles; University of Leeds; United States Department of Energy (DOE); Lawrence Berkeley National Laboratory; University of California System; University of California Berkeley; Imperial College London; University of Wisconsin System; Simon Bolivar University</t>
  </si>
  <si>
    <t>Univ Delaware, Bartol Res Inst, Newark, DE 19716 USA.</t>
  </si>
  <si>
    <t>gaisser@bartol.udel.edu</t>
  </si>
  <si>
    <t>Bouhali, Othmane/JXM-3572-2024; Gaug, Markus/L-2340-2014; Schinarakis, Konstantinos/GPK-5766-2022; Matis, Howard S/HMV-9747-2023; Matis, Howard/AAO-2082-2021; Hundertmark, Stephan/A-6592-2010; Resconi, Elisa/I-3874-2016; Wiebusch, Christopher H.V./G-6490-2012; Bernardini, Elisa/AAA-4810-2020; Hallgren, Allan/A-8963-2013; Mandli, Kyle/U-3899-2019; Botner, Olga/A-9110-2013; DeYoung, Tyce/O-6895-2019; Diaz Velez, Juan Carlos/T-2788-2018; Kowalski, Marek/G-5546-2012; Martello, Daniele/J-3131-2012</t>
  </si>
  <si>
    <t>Bouhali, Othmane/0000-0001-7139-7322; Gaug, Markus/0000-0001-8442-7877; Schinarakis, Konstantinos/0000-0003-4248-2290; Matis, Howard S/0000-0003-0764-4389; Resconi, Elisa/0000-0003-0705-2770; Wiebusch, Christopher H.V./0000-0002-6418-3008; Bernardini, Elisa/0000-0003-3108-1141; Mandli, Kyle/0000-0002-8267-5989; DeYoung, Tyce/0000-0003-4873-3783; Desiati, Paolo/0000-0001-9768-1858; Perez de los Heros, Carlos/0000-0002-2084-5866; Burgess, Thomas/0000-0002-6993-5918; Taboada, Ignacio/0000-0003-3509-3457; De Clercq, Catherine/0000-0001-5266-7059; Diaz Velez, Juan Carlos/0000-0002-0087-0693; Kowalski, Marek/0000-0001-8594-8666; Cooley, Jodi/0000-0001-6761-2042; Hill, Gary/0000-0001-8881-6802; Hinton, James/0000-0002-1031-7760; Martello, Daniele/0000-0003-2046-3910; Rhode, Wolfgang/0000-0003-2636-5000</t>
  </si>
  <si>
    <t>10.1016/j.nima.2003.12.007</t>
  </si>
  <si>
    <t>816GL</t>
  </si>
  <si>
    <t>WOS:000221098300012</t>
  </si>
  <si>
    <t>Fischer, H; Traufetter, F; Oerter, H; Weller, R; Miller, H</t>
  </si>
  <si>
    <t>Prevalence of the Antarctic Circumpolar Wave over the last two millenia recorded in Dronning Maud Land ice</t>
  </si>
  <si>
    <t>SEA-SALT AEROSOL; SOUTHERN-OCEAN; SURFACE PRESSURE; REANALYSIS; VARIABILITY</t>
  </si>
  <si>
    <t>The influence of atmospheric circulation patterns on sea salt aerosol deposition in the study area of the new EPICA (European Project for Ice Coring in Antarctica) deep drilling in Dronning Maud Land (DML), Antarctica, has been investigated. Comparison of ice core records with reanalysis data showed that recent sea salt concentrations are strongly influenced by the occurrence of a blocking high pressure ridge over the eastern and enhanced storm activity over the western Atlantic sector of the Southern Ocean (SO) leading to marine intrusions, thus enhanced sea salt export, into DML. These variations occur with periods of 4-5 and 12-14 yr, the prior being associated with the Antarctic Circumpolar Wave (ACW). The prevalence of these periodicities in a 2000 year ice core record from DML shows for the first time that the ACW is a prevalent feature of SO atmosphere dynamics over the last two millennia.</t>
  </si>
  <si>
    <t>Alfred Wegener Inst Polar &amp; Marine Res, D-27568 Bremerhaven, Germany</t>
  </si>
  <si>
    <t>Alfred Wegener Inst Polar &amp; Marine Res, Columbusstr, D-27568 Bremerhaven, Germany.</t>
  </si>
  <si>
    <t>hufischer@awi-bremerhaven.de</t>
  </si>
  <si>
    <t>; Fischer, Hubertus/A-1211-2014</t>
  </si>
  <si>
    <t>Miller, Heinrich/0000-0003-1015-2828; Fischer, Hubertus/0000-0002-2787-4221</t>
  </si>
  <si>
    <t>APR 20</t>
  </si>
  <si>
    <t>L08202</t>
  </si>
  <si>
    <t>10.1029/2003GL019186</t>
  </si>
  <si>
    <t>816BO</t>
  </si>
  <si>
    <t>WOS:000221085600003</t>
  </si>
  <si>
    <t>Nicholls, KW; Osterhus, S</t>
  </si>
  <si>
    <t>Interannual variability and ventilation timescales in the ocean cavity beneath Filchner-Ronne Ice Shelf, Antarctica</t>
  </si>
  <si>
    <t>interannual variability; ice shelf; Antarctica</t>
  </si>
  <si>
    <t>BOTTOM WATER FORMATION; CIRCULATION BENEATH; WEDDELL SEA; POLYNYA</t>
  </si>
  <si>
    <t>[1] Multiyear time series of ocean current and temperatures from beneath Filchner-Ronne Ice Shelf, Antarctica, demonstrate both seasonal and interannual variability. The seasonal signal is visible at all measurement sites, although it was swamped for a 2-year period (1999 - 2001) when extraordinarily light sea-ice cover in the southern Weddell Sea during the 1997 - 1998 Austral summer caused an anomalously large pulse of High Salinity Shelf Water to flush beneath the ice shelf. The pulse was observed twice at an instrumented site near the Berkner Island coast, once on its way to the Filchner Depression and once after the signal had propagated around the depression and returned to the site as an anomalously large pulse of Ice Shelf Water. The timings of the signal allow an estimate of 24 - 30 months for the flushing timescales of the sub-ice shelf ocean cavity, indicating that the cavity is highly responsive to external forcing. A timescale for the full ventilation of the cavity of 4 - 5 years is obtained from the length of time the sub-ice shelf conditions take to return to their original state, a timescale significantly shorter than previous estimates.</t>
  </si>
  <si>
    <t>British Antarctic Survey, NERC, Cambridge CB3 0ET, England; Univ Bergen, Bjerknes Ctr Climat Res, N-5007 Bergen, Norway</t>
  </si>
  <si>
    <t>Osterhus, Svein/0000-0001-9915-2685</t>
  </si>
  <si>
    <t>C04014</t>
  </si>
  <si>
    <t>10.1029/2003JC002149</t>
  </si>
  <si>
    <t>816BY</t>
  </si>
  <si>
    <t>WOS:000221086600003</t>
  </si>
  <si>
    <t>Udisti, R; Becagli, S; Castellano, E; Delmonte, B; Jouzel, J; Petit, JR; Schwander, J; Stenni, B; Wolff, EW</t>
  </si>
  <si>
    <t>Stratigraphic correlations between the European Project for Ice Coring in Antarctica (EPICA) Dome C and Vostok ice cores showing the relative variations of snow accumulation over the past 45 kyr</t>
  </si>
  <si>
    <t>Antarctic ice core comparison; accumulation rate changes; glacial-Holocene atmospheric circulation changes</t>
  </si>
  <si>
    <t>LAST CLIMATIC CYCLE; SOUTHERN-HEMISPHERE; GLACIAL MAXIMUM; EAST ANTARCTICA; RECORD; GREENLAND; HISTORY; FUTURE; PERIOD; SHEET</t>
  </si>
  <si>
    <t>[1] High-resolution chemistry analysis and electrical measurements performed on two ice core records (European Project for Ice Coring in Antarctica (EPICA) Dome C and Vostok) spanning the last 45 kyr allow stratigraphic correlations by matching volcanic events. Several common events were identified along the two ice cores on the basis of acidity and sulphate spikes in snow layers. Timescales were matched through comparison with isotope (deltaD) profiles and using the Antarctic cold reversal (ACR) minimum, a Be-10 peak, and a dust spike as temporal checkpoints. Ratios of relative snow accumulation at the two sites during the Holocene, in the glacial-interglacial transition and in the last part of the glacial period, were reconstructed by finding the best fit between Dome C and Vostok depths recording the same events. After accounting for thinning of the layers as they are buried within the glacier, the Dome C-Vostok accumulation ratio, expected to be roughly constant from the conventional accumulation-temperature-isotope approach, is 1.12 for the glacial period but increases to as much as 1.44 for a large part of the Holocene. Glaciological effects, mainly related to the geographic origin of the Vostok ice along the Ridge B-Vostok axis, can account for only a minor fraction of this change. Instead, we argue that accumulation variability between the cores stems from differential changes in atmospheric circulation during these respective climatic periods at the two sites. Regional changes in atmospheric circulation are proposed with a negative anomaly in Dome C, a positive accumulation anomaly in Vostok, or a combination of both during glacial climate. Our approach may help to improve ice core dating by: (1) revealing anomalies in accumulation-rate estimation based on the classical thermodynamic method and (2) supporting the necessity to take into account contributions due to changes in atmospheric circulation processes.</t>
  </si>
  <si>
    <t>Univ Florence, Dept Chem, I-50019 Florence, Italy; British Antarctic Survey, NERC, Cambridge CB3 0ET, England; Univ Trieste, Dept Geol Environm &amp; Marine Sci, I-34127 Trieste, Italy; Univ Bern, Inst Phys, CH-3012 Bern, Switzerland; CEA, UMR CNRS, Lab Sci Climat &amp; Environm, F-91191 Gif Sur Yvette, France; Ecole Natl Super Electrochim &amp; Electrome Grenoble, CNRS, Lab Glaciol &amp; Geophys Environm, F-38402 St Martin Dheres, France; Univ Milan, Dept Environm Sci, I-20126 Milan, Italy</t>
  </si>
  <si>
    <t>University of Florence; UK Research &amp; Innovation (UKRI); Natural Environment Research Council (NERC); NERC British Antarctic Survey; University of Trieste; University of Bern; Universite Paris Saclay; CEA; Centre National de la Recherche Scientifique (CNRS); Communaute Universite Grenoble Alpes; Institut National Polytechnique de Grenoble; Centre National de la Recherche Scientifique (CNRS); University of Milan</t>
  </si>
  <si>
    <t>Udisti, R (corresponding author), Univ Florence, Dept Chem, Via Lastruccia 3, I-50019 Florence, Italy.</t>
  </si>
  <si>
    <t>Delmonte, Barbara/L-2555-2015; Udisti, Roberto/M-7966-2015; Wolff, Eric W/D-7925-2014; Becagli, Silvia/GNW-2665-2022</t>
  </si>
  <si>
    <t>Delmonte, Barbara/0000-0002-9074-2061; Udisti, Roberto/0000-0003-4440-8238; Wolff, Eric W/0000-0002-5914-8531; Becagli, Silvia/0000-0003-3633-4849; Stenni, Barbara/0000-0003-4950-3664</t>
  </si>
  <si>
    <t>APR 16</t>
  </si>
  <si>
    <t>D08101</t>
  </si>
  <si>
    <t>10.1029/2003JD004180</t>
  </si>
  <si>
    <t>815YH</t>
  </si>
  <si>
    <t>WOS:000221077100001</t>
  </si>
  <si>
    <t>Studinger, M; Bell, RE; Buck, WR; Karner, GD; Blankenship, DD</t>
  </si>
  <si>
    <t>Sub-ice geology inland of the Transantarctic Mountains in light of new aerogeophysical data</t>
  </si>
  <si>
    <t>Antarctica; Transantarctic Mountains; Wilkes Subglacial Basin; aerogeophysics; gravity; magnetics; radar echo sounding</t>
  </si>
  <si>
    <t>EAST ANTARCTIC CRATON; VICTORIA-LAND; MAGNETIC INTERPRETATION; AIRBORNE GRAVIMETRY; GRAVITY-ANOMALIES; WEST ANTARCTICA; ANALYTIC SIGNAL; UPLIFT; CRUSTAL; BENEATH</t>
  </si>
  <si>
    <t>The Transantarctic Mountains are a major geologic boundary that bisects the Antarctic continent, separating the low-lying, tectonically active terrains of West Antarctica from the East Antarctic craton. A new comprehensive aerogeophysical data set, extending 1150 km from the Ross Sea into the interior of East Antarctica provides insights into the complex structure inland of the Transantarctic Mountains. Geophysical maps, compiled from 21 000 km of gravity, magnetic and subglacial topography data, outline the boundaries of several geologic and tectonic segments within the survey area. The coherent pattern in magnetic data and mesa topography suggests a subglacial extent of the Transantarctic Mountains 400-500 km inland the last exposed rock outcrops. We estimate the maximum thickness of a potential sediment infill in the Wilkes Subglacial Basin to be less than I km, based on gravity modeling and source depth estimates from magnetic data. The coherent nature of the potential field and topography data, together with the northwest-southeast trends, define the Adventure Subglacial Trench and the Resolution Subglacial Highlands as a tectonic unit. The crustal structure and the strong similarity of the observed gravity with fold-and-thrust belts suggest a compressional scenario for the origin of the Adventure Subglacial Trench and the Resolution Subglacial Highlands. The complexity and apparent structural control of the Wilkes Subglacial Basin raise the issue of what influence pre-existing structures may have played in the formation of the Transantarctic Mountains system. The previous hypothesis of a thermal boundary beneath the mountains is difficult to reconcile with our new gravity data. The apparent difficulties to match our new data with certain key aspects of previous models suggests that a reassessment of the existing uplift models is necessary. We have modeled the prominent gravity anomaly over the Transantarctic Mountains with thicker crust. (C) 2004 Elsevier B.V. All rights reserved.</t>
  </si>
  <si>
    <t>Columbia Univ, Lamont Doherty Earth Observ, Palisades, NY 10964 USA; Univ Texas, John A &amp; Katherine G Jackson Sch Geosci, Inst Geophys, Austin, TX 78712 USA</t>
  </si>
  <si>
    <t>Columbia University; University of Texas System; University of Texas Austin</t>
  </si>
  <si>
    <t>Columbia Univ, Lamont Doherty Earth Observ, Palisades, NY 10964 USA.</t>
  </si>
  <si>
    <t>mstuding@ldeo.columbia.edu</t>
  </si>
  <si>
    <t>APR 15</t>
  </si>
  <si>
    <t>10.1016/S0012-821X(04)00066-4</t>
  </si>
  <si>
    <t>811YT</t>
  </si>
  <si>
    <t>WOS:000220807900012</t>
  </si>
  <si>
    <t>Shimada, W; Hondoh, T</t>
  </si>
  <si>
    <t>In situ observation of the transformation from air bubbles to air clathrate hydrate crystals using a Mizuho ice core</t>
  </si>
  <si>
    <t>JOURNAL OF CRYSTAL GROWTH</t>
  </si>
  <si>
    <t>nucleation; optical microscopy; air; clathrate hydrate; ice</t>
  </si>
  <si>
    <t>ANTARCTIC ICE; NUCLEATION; CONVERSION; INCLUSIONS; KINETICS; SHEETS</t>
  </si>
  <si>
    <t>The transformation from air bubbles to air clathrate hydrate crystals (air-hydrates) in polar ice sheets has been studied using a natural ice-core drilled at Mizuho Station. East Antarctica. In situ observations using an optical microscope were done under hydrostatic pressures of 14.7 - 22.5 MPa at 258 - 268 K. The air-hydrate nucleated only at the interface between an air bubble and ice from 20 to 330h after the pressurization. The nucleation ratio, which we defined as the number of air bubbles containing hydrate 330 h after pressurization divided by the initial number of air bubbles in a given volume, depended oil the excess pressure above the equilibrium pressure at a given temperature. Of two ice samples studied, this nucleation ratio was higher in the sample with greater chemical impurity content. Based oil the experimental results, we discuss the nucleation mechanism of air-hydrate caused by chemical impurity in polar ice sheets. (C) 2004 Elsevier B.V. All rights reserved.</t>
  </si>
  <si>
    <t>Natl Inst Polar Res, Tokyo 1738515, Japan; Hokkaido Univ, Inst Low Temp Sci, Sapporo, Hokkaido 0600819, Japan</t>
  </si>
  <si>
    <t>Research Organization of Information &amp; Systems (ROIS); National Institute of Polar Research (NIPR) - Japan; Hokkaido University</t>
  </si>
  <si>
    <t>Shimada, W (corresponding author), Natl Inst Adv Ind Sci&amp; Technol AIST, Gas Hydrate Grp, Natl Inst AIST, 2-17-2-1 Tsukisamu Higashi,Toyohira, Sapporo, Hokkaido 0628517, Japan.</t>
  </si>
  <si>
    <t>w.shimada@aist.go.jp</t>
  </si>
  <si>
    <t>SHIMADA, Wataru/AAO-5328-2020; HONDOH, Takeo/E-7551-2011</t>
  </si>
  <si>
    <t>HONDOH, Takeo/0000-0003-4129-022X</t>
  </si>
  <si>
    <t>0022-0248</t>
  </si>
  <si>
    <t>J CRYST GROWTH</t>
  </si>
  <si>
    <t>J. Cryst. Growth</t>
  </si>
  <si>
    <t>10.1016/j.jcrysgro.2004.01.040</t>
  </si>
  <si>
    <t>Crystallography; Materials Science, Multidisciplinary; Physics, Applied</t>
  </si>
  <si>
    <t>Crystallography; Materials Science; Physics</t>
  </si>
  <si>
    <t>813WK</t>
  </si>
  <si>
    <t>WOS:000220937000047</t>
  </si>
  <si>
    <t>Sruoga, P; Rubinstein, N; Hinterwimmer, G</t>
  </si>
  <si>
    <t>Porosity and permeability in volcanic rocks: a case study on the Serie Tobifera, South Patagonia, Argentina</t>
  </si>
  <si>
    <t>JOURNAL OF VOLCANOLOGY AND GEOTHERMAL RESEARCH</t>
  </si>
  <si>
    <t>Tobifera; South Patagonia; volcanics; porosity; permeability</t>
  </si>
  <si>
    <t>MAGMATISM; GONDWANA</t>
  </si>
  <si>
    <t>The Middle to Late Jurassic Serie Tobifera belongs to the Chon-Aike Province and extends all over Patagonia and the Antarctic Peninsula. It consists largely of ignimbrites, epiclastics and rhyolitic lavas and was considered only a minor reservoir rock for oil with fracture permeability. Petrographic and petrophysical data in selected core samples from the Austral Basin were collected to determine the processes controlling the porosity and permeability of these volcanic rocks. The sequence of processes occurring during cooling and in the post-cooling stages can modify, sometimes substantially, their original petrophysic characteristics. The results show that the highest porosity and permeability occur in rocks with quench fractured glasses and in non-welded ignimbrites with gas-pipe structures, followed by autobrecciated rhyolites. Welded ignimbrites, massive glasses and fresh rhyolites have the lowest permeabilities. The new data indicate that tectonic fracturing is not as significant as was considered before and application of these concepts are relevant in the assesment of volcanic reservoir quality. (C) 2003 Elsevier B.V. All rights reserved.</t>
  </si>
  <si>
    <t>Univ Buenos Aires, CONICET, Dept Geol, RA-1428 Buenos Aires, DF, Argentina; SEGEMAR, CONICET, RA-1322 Buenos Aires, DF, Argentina; CHEVRON San Jorge SA, RA-1322 Buenos Aires, DF, Argentina</t>
  </si>
  <si>
    <t>University of Buenos Aires; Consejo Nacional de Investigaciones Cientificas y Tecnicas (CONICET); Consejo Nacional de Investigaciones Cientificas y Tecnicas (CONICET); Chevron</t>
  </si>
  <si>
    <t>Univ Buenos Aires, CONICET, Dept Geol, Pabellon 2,Ciudad Univ, RA-1428 Buenos Aires, DF, Argentina.</t>
  </si>
  <si>
    <t>nora@gl.fcen.uba.ar</t>
  </si>
  <si>
    <t>Rubinstein, Nora/0000-0002-2752-7107</t>
  </si>
  <si>
    <t>0377-0273</t>
  </si>
  <si>
    <t>1872-6097</t>
  </si>
  <si>
    <t>J VOLCANOL GEOTH RES</t>
  </si>
  <si>
    <t>J. Volcanol. Geotherm. Res.</t>
  </si>
  <si>
    <t>10.1016/s0377-0273(03)00419-0</t>
  </si>
  <si>
    <t>808NB</t>
  </si>
  <si>
    <t>WOS:000220574700003</t>
  </si>
  <si>
    <t>Noone, D; Simmonds, I</t>
  </si>
  <si>
    <t>Sea ice control of water isotope transport to Antarctica and implications for ice core interpretation</t>
  </si>
  <si>
    <t>sea ice; water isotope; water transport; Antarctica; ice core</t>
  </si>
  <si>
    <t>GENERAL-CIRCULATION MODEL; SOUTHERN-HEMISPHERE; DEUTERIUM EXCESS; DELTA-D; CLIMATE VARIABILITY; STABLE ISOTOPES; TIME-VARIATION; PRECIPITATION; SNOW; OCEAN</t>
  </si>
  <si>
    <t>[1] Sea ice in the Southern Ocean is important for Antarctic climate and hydrology. The dependence of water isotope abundance (delta(18)O and deuterium excess) on the winter sea ice state is examined with the isotopic version of the Melbourne University general circulation model. Reductions in the ice concentration provide warmer temperatures in winter and allow higher precipitation totals further south, while the reverse occurs with increased ice extent. The model shows clear demarcation between the changes in the isotopic conditions over the sea ice pack, where local changes in surface exchange dominate, and those of the continent interior, which depend on the long-ranged transport aloft. While less sensitive to the forcing, the interior response is influenced by changes in turbulent mixing over the ice pack and modification of the vertical transport associated with diabatic heating. The interior deuterium excess response is more strongly affected by sea ice as it captures changes in temperature over the ice rather than just the final vapor mass. Traditional reconstruction of temperature from a single isotopic nuclide would give erroneous interpretation of change in the global mean temperature unless the sea ice changes in parallel; instead, the spatial structure of the sea ice response gives some hope for extracting past sea ice conditions from multicore analysis. This study begins to explore the role of entropy production during transport such that the isotopic interpretation is more closely tied to the dynamics of the atmosphere than is expressed by idealized parcel analysis.</t>
  </si>
  <si>
    <t>CALTECH, Div Geol &amp; Planetary Sci, Pasadena, CA 91125 USA; Univ Melbourne, Sch Earth Sci, Parkville, Vic 3052, Australia</t>
  </si>
  <si>
    <t>California Institute of Technology; University of Melbourne</t>
  </si>
  <si>
    <t>Univ Colorado, Cooperat Inst Res Environm Sci, Program Atmospher &amp; Ocean Sci, Campus Box 311, Boulder, CO 80309 USA.</t>
  </si>
  <si>
    <t>dcn@colorado.edu</t>
  </si>
  <si>
    <t>Simmonds, Ian/0000-0002-4479-3255; NOONE, DAVID/0000-0002-8642-7843</t>
  </si>
  <si>
    <t>APR 14</t>
  </si>
  <si>
    <t>D7</t>
  </si>
  <si>
    <t>D07105</t>
  </si>
  <si>
    <t>10.1029/2003JD004228</t>
  </si>
  <si>
    <t>815YE</t>
  </si>
  <si>
    <t>WOS:000221076800001</t>
  </si>
  <si>
    <t>Thresher, R; Rintoul, SR; Koslow, JA; Weidman, C; Adkins, J; Proctor, C</t>
  </si>
  <si>
    <t>Oceanic evidence of climate change in southern Australia over the last three centuries</t>
  </si>
  <si>
    <t>coral age validation; Australia; coral chemistry; Southern Ocean; sub-tropical ridge; climate proxy</t>
  </si>
  <si>
    <t>DEEP-SEA; CIRCULATION; CORALS; TASMANIA; LATITUDE; GROWTH; WIND; AGE</t>
  </si>
  <si>
    <t>Chemical analysis of deepwater octocorals collected at 1000 m depth off southern Australia indicates long-term cooling, beginning in the mid-18th century. This cooling appears to reflect shoaling of isotherms along the continental shelf, that can be related statistically, observationally and by modeling to increasing coastal sea-surface temperatures, that in turn reflect a poleward extension of the SW Pacific boundary current ( the East Australian Current). The oceanographic changes implied by the coral record suggest climate change in temperate Australia starting about the time of European settlement. Correlations between temperate Australian and Antarctic indices suggest these long-term changes might also be relevant to Antarctic climate.</t>
  </si>
  <si>
    <t>CSIRO Marine Res, Hobart, Tas 7001, Australia; CALTECH, Pasadena, CA 91125 USA; Woods Hole Oceanog Inst, Dept Geol &amp; Geophys, Woods Hole, MA 02543 USA; Antarctic Climate &amp; Ecosyst Cooperat Res Ctr, Hobart, Tas, Australia</t>
  </si>
  <si>
    <t>Commonwealth Scientific &amp; Industrial Research Organisation (CSIRO); California Institute of Technology; Woods Hole Oceanographic Institution; Antarctic Climate &amp; Ecosystems Cooperative Research Centre (ACE CRC)</t>
  </si>
  <si>
    <t>Thresher, R (corresponding author), CSIRO Marine Res, GPO Box 1538, Hobart, Tas 7001, Australia.</t>
  </si>
  <si>
    <t>ron.thresher@csiro.au</t>
  </si>
  <si>
    <t>Rintoul, Stephen R/A-1471-2012; Adkins, Jess/GYI-8778-2022; Proctor, Craig/I-3710-2016; Thresher, Ronald/C-7442-2009</t>
  </si>
  <si>
    <t>APR 13</t>
  </si>
  <si>
    <t>L07212</t>
  </si>
  <si>
    <t>10.1029/2003GL018869</t>
  </si>
  <si>
    <t>815XT</t>
  </si>
  <si>
    <t>Green Accepted, Bronze, Green Published</t>
  </si>
  <si>
    <t>WOS:000221075700002</t>
  </si>
  <si>
    <t>Cantero, ALP; Vervoort, W</t>
  </si>
  <si>
    <t>Species of Oswaldella Stechow, 1919 (Cnidaria: Hydrozoa: Kirchenpaueriidae) from US Antarctic expeditions, with the description of three new species</t>
  </si>
  <si>
    <t>hydroids; systematics; ecology; biogeography; Antarctic Ocean</t>
  </si>
  <si>
    <t>Seventeen species of the genus Oswaldella Stechow have been studied, three of which are new to science (Oswaldella frigida sp. nov., O. medeae sp. nov. and O. monomammillata sp. nov.). The material studied was collected by several US Antarctic expeditions. Each species is described and figured, the systematic position amongst allied species is discussed and available data concerning autecology and geographical distribution are given. The remaining eight known species of the genus are also considered, regarding synonymy, autecology and geographical distribution. Finally, a general survey of the bathymetrical and biogeographical distribution of the known species of Oswaldella is given.</t>
  </si>
  <si>
    <t>Univ Valencia, Fac Ciencias Biol, Dept Zool, E-46100 Valencia, Spain; Natl Museum Nat Hist, NL-2300 RA Leiden, Netherlands</t>
  </si>
  <si>
    <t>Cantero, ALP (corresponding author), Univ Valencia, Fac Ciencias Biol, Dept Zool, Dr Moliner 50, E-46100 Valencia, Spain.</t>
  </si>
  <si>
    <t>APR 10</t>
  </si>
  <si>
    <t>10.1080/0022293021000045154</t>
  </si>
  <si>
    <t>740GA</t>
  </si>
  <si>
    <t>WOS:000186393600001</t>
  </si>
  <si>
    <t>Lörz, AN; De Broyer, C</t>
  </si>
  <si>
    <t>Description and ecology of a spongicolous lysianassoid amphipod (Crustacea) from Antarctica</t>
  </si>
  <si>
    <t>Amphipoda; Lysianassoidea; Antarctic; taxonomy; symbiosis; Demospongiae; Pseudokoroga spongiophila n. sp.</t>
  </si>
  <si>
    <t>EASTERN WEDDELL SEA; BENTHIC AMPHIPODS; DIVERSITY</t>
  </si>
  <si>
    <t>In the canals of three species of Antarctic Demospongiae, a new species of Lysianassoidea (Crustacea: Amphipoda) was found. The new species Pseudokoroga spongiophila is described, its ecology is briefly summarized. While the superfamily is represented in the Southern Ocean by 146 species, belonging to 54 genera, Pseudokoroga spongiophila n. sp. is one of the rare species symbiontically living in sponges. Up to 24 individuals were collected in 1000 cm(3) of tissue of the host Demospongiae Jophon spatulatus (Kirkpatrick, 1907).</t>
  </si>
  <si>
    <t>Inst Zool, D-20146 Hamburg, Germany; Inst Royal Sci Nat Belgique, Dept Invertebres, B-1000 Brussels, Belgium; Museum Zool, D-20146 Hamburg, Germany</t>
  </si>
  <si>
    <t>University of Hamburg</t>
  </si>
  <si>
    <t>Lörz, AN (corresponding author), Inst Zool, Martin Luther King Pl 3, D-20146 Hamburg, Germany.</t>
  </si>
  <si>
    <t>10.1080/0022293021000046513</t>
  </si>
  <si>
    <t>WOS:000186393600004</t>
  </si>
  <si>
    <t>Renwick, JA</t>
  </si>
  <si>
    <t>Trends in the Southern Hemisphere polar vortex in NCEP and ECMWF reanalyses</t>
  </si>
  <si>
    <t>NCAR REANALYSIS; CLIMATE-CHANGE</t>
  </si>
  <si>
    <t>A comparison of tropospheric and stratospheric height fields from ECMWF and NCEP/NCAR reanalyses during 1958-2001 indicates a trend towards a strengthening Antarctic polar vortex. The reanalyses agree well on a daily basis over the Southern Hemisphere, after the advent of satellite observations in 1979. Linear trends in 500 hPa and 50 hPa geopotential height are in close spatial agreement in the period 1980-2001 (correlations &gt;0.8), showing falling heights over Antarctica and strengthening zonal winds above the southern oceans during summer and autumn. Prior to 1980, stratospheric trends agree well (spatial correlations greater than or equal to0.7), suggesting a rise in heights over Antarctica and a weakening polar vortex since the late 1950s. Tropospheric trends are not as consistent prior to 1980, but show similar qualitative features. The strong trends observed in the past 20 years dominate the full record, but there are suggestions of cyclical components on the decadal time scale.</t>
  </si>
  <si>
    <t>Natl Inst Water &amp; Atmospher Res, Wellington, New Zealand</t>
  </si>
  <si>
    <t>Renwick, JA (corresponding author), NIWA, POB 14901, Wellington, New Zealand.</t>
  </si>
  <si>
    <t>j.renwick@niwa.co.nz</t>
  </si>
  <si>
    <t>Renwick, James/0000-0002-9141-2486</t>
  </si>
  <si>
    <t>APR 9</t>
  </si>
  <si>
    <t>L07209</t>
  </si>
  <si>
    <t>10.1029/2003GL019302</t>
  </si>
  <si>
    <t>813OD</t>
  </si>
  <si>
    <t>WOS:000220915500003</t>
  </si>
  <si>
    <t>Skinner, LC; Shackleton, NJ</t>
  </si>
  <si>
    <t>Rapid transient changes in northeast Atlantic deep water ventilation age across Termination I</t>
  </si>
  <si>
    <t>Termination I; ventilation age; thermohaline circulation</t>
  </si>
  <si>
    <t>LAST GLACIAL PERIOD; MELTWATER PULSE 1A; THERMOHALINE CIRCULATION; RADIOCARBON CALIBRATION; ATMOSPHERIC RADIOCARBON; OCEAN CIRCULATION; FIELD INTENSITY; SEA CORALS; C-14; DEGLACIATION</t>
  </si>
  <si>
    <t>[1] A sequence of accelerator mass spectrometry (AMS) C-14 dates performed on benthic and planktonic foraminifera from a northeast Atlantic deep-sea core (MD99-2334K; 37degrees480N, 10degrees10'W; 3146 m) permit the reconstruction of deep water ,,C-14 ventilation ages'' across the last deglaciation. The records from MD99-2334K have been placed on the GISP2 timescale via the synchrony of temperature changes recorded in the Greenland ice cores and in North Atlantic planktonic delta(18)O(cc) (calcite delta(18)O). On the basis of a range of estimates for past source water Delta(14)C, this permits the estimation of C-14 projection ventilation ages for comparison with benthic-planktonic C-14 age differences. Although the accurate estimation of past ventilation ages is precluded by unknown deep water Delta(14)C source signatures, and by uncertainty regarding the extent of deep water mixing, it is clear that deep water ventilation in the northeast Atlantic was significantly reduced during the last glaciation, increased abruptly coincident with the Bolling-Allerod warming, and rapidly became reduced again during the Younger Dryas cold reversal. The character of these changes is consistent with a varying dominance of North Atlantic Deep Water (NADW) versus Antarctic Bottom Water (AABW). Parallel benthic delta(13)C, deep water temperature (T-dw), and deep water delta(18)O (delta(18)O(dw)) estimates support this inference. The fact that deglacial changes in the deep water radiocarbon content of the northeast Atlantic run parallel to opposite changes in atmospheric radiocarbon content, and in parallel with Greenland temperature fluctuations, unequivocally implicates changes in ocean circulation in deglacial climate evolution and illustrates the capacity for the deep ocean to respond and contribute to abrupt climate change.</t>
  </si>
  <si>
    <t>Univ Cambridge, Dept Earth Sci, Godwin Inst Quaternary Res, Cambridge CB2 3SA, England</t>
  </si>
  <si>
    <t>Univ Cambridge, Dept Earth Sci, Godwin Inst Quaternary Res, New Museums Site,Pembroke St, Cambridge CB2 3SA, England.</t>
  </si>
  <si>
    <t>luke00@esc.cam.ac.uk</t>
  </si>
  <si>
    <t>PA2005</t>
  </si>
  <si>
    <t>10.1029/2003PA000983</t>
  </si>
  <si>
    <t>813PZ</t>
  </si>
  <si>
    <t>WOS:000220920300002</t>
  </si>
  <si>
    <t>Gompel, M; Leost, M; Joffe, EBD; Puricelli, L; Franco, LH; Palermo, J; Meijer, L</t>
  </si>
  <si>
    <t>Meridianins, a new family of protein kinase inhibitors isolated from the ascidian Aplidium meridianum</t>
  </si>
  <si>
    <t>BIOORGANIC &amp; MEDICINAL CHEMISTRY LETTERS</t>
  </si>
  <si>
    <t>meridianin; protein kinase; cyclin-dependent kinase; glycogen synthase kinase; kinase inhibitor; cancer; neurodegenerative-diseases</t>
  </si>
  <si>
    <t>ANTARCTIC SPONGE; INDOLE ALKALOIDS; GSK-3</t>
  </si>
  <si>
    <t>Meridianins are brominated 3-(2-aminopyrimidine)-indoles which are purified from Aplidium meridianum, an Ascidian from the South Atlantic (South Georgia Islands). We here show that meridianins inhibit various protein kinases such as cyclindependent kinases, glycogen synthase kinase-3, cyclic nucleotide-dependent kinases and cascin kinase 1. Meridianins prevent cell proliferation and induce apoptosis, a demonstration of their ability to enter cells and to interfere with the activity of kinases important for cell division and cell death. These results suggest that meridianins constitute a promising scaffold from which more potent and selective protein kinase inhibitors could be designed. (C) 2004 Elsevier Ltd. All rights reserved.</t>
  </si>
  <si>
    <t>CNRS, Biol Stn, Cell Cycle Grp, F-29682 Roscoff, Bretagne, France; Univ Buenos Aires, Res Area, Angel H Roffo Inst Oncol, RA-1417 Buenos Aires, DF, Argentina; Univ Buenos Aires, Fac Ciencias Exactas &amp; Nat, Dept Quim Organ, RA-1428 Buenos Aires, DF, Argentina</t>
  </si>
  <si>
    <t>Centre National de la Recherche Scientifique (CNRS); University of Buenos Aires; University of Buenos Aires</t>
  </si>
  <si>
    <t>CNRS, Biol Stn, Cell Cycle Grp, BP 74, F-29682 Roscoff, Bretagne, France.</t>
  </si>
  <si>
    <t>meijer@sb-roscoff.fr</t>
  </si>
  <si>
    <t>MEIJER, Laurent/ABE-7465-2021</t>
  </si>
  <si>
    <t>MEIJER, Laurent/0000-0003-3511-4916; Palermo, Jorge/0000-0002-0892-9389; BAL de KIER JOFFE, ELISA DORA/0000-0001-6952-0029</t>
  </si>
  <si>
    <t>0960-894X</t>
  </si>
  <si>
    <t>1464-3405</t>
  </si>
  <si>
    <t>BIOORG MED CHEM LETT</t>
  </si>
  <si>
    <t>Bioorg. Med. Chem. Lett.</t>
  </si>
  <si>
    <t>APR 5</t>
  </si>
  <si>
    <t>10.1016/j.bmcl.2004.01.050</t>
  </si>
  <si>
    <t>Chemistry, Medicinal; Chemistry, Organic</t>
  </si>
  <si>
    <t>Pharmacology &amp; Pharmacy; Chemistry</t>
  </si>
  <si>
    <t>806CE</t>
  </si>
  <si>
    <t>WOS:000220411200020</t>
  </si>
  <si>
    <t>McCracken, KG</t>
  </si>
  <si>
    <t>Geomagnetic and atmospheric effects upon the cosmogenic 10Be observed in polar ice -: art. no. A04101</t>
  </si>
  <si>
    <t>COSMIC-RAY SPECTRUM; SOLAR MODULATION; NUCLIDE PRODUCTION; NEUTRON MONITOR; ANTARCTIC ICE; HELIOSPHERE; DEPENDENCE; CORE</t>
  </si>
  <si>
    <t>[1] Analytical tools are developed that allow the 10 Be measured in ice cores to be inverted to yield quantitative information about the long term time dependence of the cosmic ray flux outside the Earth's magnetic field. It is concluded that the historic changes in both the magnitude, and direction of the geomagnetic dipole, and the inter-latitudinal mixing in the atmosphere, produce effects that can be large compared to the standard deviation of 22 year average Be-10 data, and appropriate procedures are developed to compensate for them. The Be-10 response function is shown to have peaked near 1.8 GeV/nucleon since 1950, while during the Maunder minimum it approximated 0.8 GeV/nucleon. This shows that the Be-10 data are approximately a factor of two more sensitive to cosmic ray modulation than are high latitude sea level neutron monitors. The Z greater than or equal to 2 cosmic radiation contributes 30% to 49% of the observed Be-10, introducing a substantial rigidity dependence into the temporal variations. A mathematical model is developed that computes the Be-10 flux arriving at points in the polar cap, taking into account polar wander'', changes in the geomagnetic moment, and various degrees of atmospheric mixing. It is shown that polar wander introduces variations into the observed flux that may be approximately three times the standard deviation of 22 year average Be-10 data, and that there may be significant differences between the northern and southern hemispheres. The mathematical model, together with the temporal changes in the nitrate concentration observed in ice cores, indicate that the secular changes in Be-10 due to climate driven changes in atmospheric circulation were &lt; 4% during the little ice ages''. Two methods are outlined that allow independent determinations of the characteristics of the region of the atmosphere that contributes to the 10 Be observed in the polar caps. For the Antarctic, this has approximated the region south of 40 degrees S for the past millennium. Frequently, Be-10 measurements are made using 4 - 8 year ice samples, and it is shown that the unresolved 11 year variations of the cosmic radiation are the dominant source of statistical variation in these data, and a procedure developed to largely eliminate them. Failure to eliminate these unresolved 11 year variation greatly diminishes the value of the Be-10 data in the study of the long term changes in the galactic cosmic radiation.</t>
  </si>
  <si>
    <t>Univ Maryland, Inst Phys Sci &amp; Technol, College Pk, MD 20742 USA</t>
  </si>
  <si>
    <t>Univ Maryland, Inst Phys Sci &amp; Technol, 4247 CSS Bldg, College Pk, MD 20742 USA.</t>
  </si>
  <si>
    <t>mccracke@ipst.umd.edu</t>
  </si>
  <si>
    <t>APR 3</t>
  </si>
  <si>
    <t>A04101</t>
  </si>
  <si>
    <t>10.1029/2003JA010060</t>
  </si>
  <si>
    <t>811BD</t>
  </si>
  <si>
    <t>WOS:000220746500003</t>
  </si>
  <si>
    <t>Regulation of incubation shifts near hatching by giant petrels:: a timed mechanism, embryonic signalling or food availability?</t>
  </si>
  <si>
    <t>SEALS ARCTOCEPHALUS-GAZELLA; MACRONECTES-GIGANTEUS; BREEDING BIOLOGY; BIRD-ISLAND; HALLI; SEABIRDS; ECOLOGY; RHYTHM</t>
  </si>
  <si>
    <t>In most seabird species incubation shifts shorten when hatching approaches, a behavioural response allowing the chick to be fed soon after hatching. Three mechanisms have been proposed to explain these shortened absences: endogenous timing, a response to embryo signals or a seasonal increase in food availability. I tested these hypotheses by cross-fostering eggs between two sibling species: the northern Macronectes halli and the southern M. giganteus giant petrels; the former normally breeds 5-6 weeks earlier than the latter but both have an incubation period of 60 days. The length of the last trip before hatching was unaffected by the timing of hatching, suggesting that trip length was not related to the increase in food availability with the progress of the season. Furthermore, northern giant petrels reduced their last trip lengths regardless of whether they were incubating their own developed or the southern undeveloped egg (with embryos not developed enough to signal). Parents presumably, therefore, possess endogenous control allowing them to predict hatching date and to reduce trip duration accordingly, regardless of the communication with the embryo. Nevertheless, shorter last trips before hatching in southern giant petrels incubating northern giant petrel eggs suggest that parents use embryo signals for a fine-tuning synchronization of the internal timer to the natural variability in the length of the incubation period. (C) 2004 The Association for the Study of Animal Behaviour. Published by Elsevier Ltd. All rights reserved.</t>
  </si>
  <si>
    <t>Univ Barcelona, Dept Biol Anim, Barcelona 08028, Spain; British Antarctic Survey, NERC, Cambridge CB3 0ET, England</t>
  </si>
  <si>
    <t>Univ Barcelona, Dept Biol Anim, Av Diagonal 645, Barcelona 08028, Spain.</t>
  </si>
  <si>
    <t>APR</t>
  </si>
  <si>
    <t>10.1016/j.anbehav.2003.08.008</t>
  </si>
  <si>
    <t>810ZY</t>
  </si>
  <si>
    <t>WOS:000220743400008</t>
  </si>
  <si>
    <t>Gast, RJ; Dennett, MR; Caron, DA</t>
  </si>
  <si>
    <t>Characterization of protistan assemblages in the Ross Sea, Antarctica, by denaturing gradient gel electrophoresis</t>
  </si>
  <si>
    <t>SPRING-SUMMER TRANSITION; ICE BRINE COMMUNITY; MCMURDO SOUND; MICROBIAL-CELLS; DIVERSITY; PCR; DNA; DGGE; BACTERIOPLANKTON; IDENTIFICATION</t>
  </si>
  <si>
    <t>The diversity of protistan assemblages has traditionally been studied using microscopy and morphological characterization, but these methods are often inadequate for ecological studies of these communities because most small protists inherently lack adequate taxonomic characters to facilitate their identification at the species level and many protistan species also do not preserve well. We have therefore used a culture-independent approach (denaturing gradient gel electrophoresis [DGGE]) to obtain an assessment of the genetic composition and distribution of protists within different microhabitats (seawater, meltwater or slush on sea-ice floes, and ice) of the Ross Sea, Antarctica. Samples of the same type (e.g., water) shared more of the same bands than samples of different types (e.g., ice versus water), despite being collected from different sites. These findings imply that samples from the same environment have a similar protistan species composition and that the type of microenvironment significantly influences the protistan species composition of these Antarctic assemblages. It should be noted that a large number of bands among the samples within each microhabitat were distinct, indicating the potential presence of significant genetic diversity within each microenvironment. Sequence analysis of selected DGGE bands revealed sequences that represent diatoms, dinoflagellates, ciliates, flagellates, and several unidentified eukaryotes.</t>
  </si>
  <si>
    <t>Woods Hole Oceanog Inst, Dept Biol, Woods Hole, MA 02543 USA; Univ So Calif, Dept Biol Sci, Los Angeles, CA 90089 USA</t>
  </si>
  <si>
    <t>Woods Hole Oceanographic Institution; University of Southern California</t>
  </si>
  <si>
    <t>Gast, RJ (corresponding author), Woods Hole Oceanog Inst, Dept Biol, Woods Hole, MA 02543 USA.</t>
  </si>
  <si>
    <t>rgast@whoi.edu</t>
  </si>
  <si>
    <t>Gast, Rebecca J/0000-0003-3875-3975</t>
  </si>
  <si>
    <t>10.1128/AEM.70.4.2028-2037.2004</t>
  </si>
  <si>
    <t>811SS</t>
  </si>
  <si>
    <t>WOS:000220792200017</t>
  </si>
  <si>
    <t>Thompson, GA</t>
  </si>
  <si>
    <t>Tintinnid diversity trends in the southwestern Atlantic Ocean (29 to 60° S)</t>
  </si>
  <si>
    <t>specific diversity; specific richness; tintinnids; Southwestern Atlantic</t>
  </si>
  <si>
    <t>SPECIES COMPOSITION; MEDITERRANEAN SEA; MICRO-ZOOPLANKTON; SHELF-BREAK; MU-M; MICROZOOPLANKTON; CILIOPHORA; ABUNDANCE; BIOGEOGRAPHY; CHLOROPHYLL</t>
  </si>
  <si>
    <t>A latitudinal profile of tintinnid specific richness and diversity in the southwestern Atlantic Ocean during spring was evaluated in relation to environmental parameters obtained during 4 oceanographic cruises (TABIA series). The area surveyed included different biogeographic zones and comprised waters of the Brazil-Malvinas Confluence zone, the Argentine shelf-slope, the Malvinas Current and the Antarctic Circumpolar Current. Parameters of tintinnid diversity decreased as latitude of the oceanic cruises increased (TABIA I to III). Latitude explained 53 to 60 and 28 to 60% of specific richness and diversity variation, respectively. Comparisons between cruises indicated that the rate of change in diversity parameters was constant with latitude, but diversity parameters did not change with latitude during TABIA V cruise over the shelf-break front. To explain this difference, environmental (physical and biological) factors that could affect and determine diversity parameters in the Confluence and Subantarctic Zones were analyzed. The conclusion drawn is that the determination and maintenance of tintinnid diversity were mainly caused by various biological factors (available food, predators, 'coocurrence', resilience of dominant tintinnid species) and by particular physical and hydrological characteristics of each biogeographic zone (ingress and egress of water masses in the Confluence, oscillations in the flow of the Malvinas and Brazil Currents, and the presence of a large spatial and temporal scale event: the shelf-break front).</t>
  </si>
  <si>
    <t>Univ Buenos Aires, Fac Ciencias Exactas &amp; Nat, Dept Ecol Genet &amp; Evoluc, Buenos Aires C142EHA, DF, Argentina</t>
  </si>
  <si>
    <t>Univ Buenos Aires, Fac Ciencias Exactas &amp; Nat, Dept Ecol Genet &amp; Evoluc, Buenos Aires C142EHA, DF, Argentina.</t>
  </si>
  <si>
    <t>gustavo@bg.fcen.uba.ar</t>
  </si>
  <si>
    <t>Thompson, Gustavo/0000-0002-5511-3673</t>
  </si>
  <si>
    <t>APR 1</t>
  </si>
  <si>
    <t>10.3354/ame035093</t>
  </si>
  <si>
    <t>815DL</t>
  </si>
  <si>
    <t>WOS:000221022900008</t>
  </si>
  <si>
    <t>Van Aarde, RJ; Ferreira, SM; Wassenaar, TD</t>
  </si>
  <si>
    <t>Do feral house mice have an impact on invertebrate communities on sub-Antarctic Marion Island?</t>
  </si>
  <si>
    <t>AUSTRAL ECOLOGY</t>
  </si>
  <si>
    <t>climate change; invasive species; Mus domesticus; predation</t>
  </si>
  <si>
    <t>CRITICAL THERMAL LIMITS; CLIMATE-CHANGE; TEMPERATURE TOLERANCE; WATER-BALANCE; CATS; VARIABILITY; BIOLOGY; SIZE; DIET</t>
  </si>
  <si>
    <t>House mice (Mus domesticus L.) have been present on sub-Antarctic Marion Island since the early 1800s. Several authors have suggested that an increase in mice density as a result of a general warming trend in the sub-Antarctic climate from the 1960s has led to a decline in invertebrate biomass and abundance. These suggestions have been supported by the observation that the invertebrates of nearby mouse-free Prince Edward Island are apparently larger and more numerous than on Marion. Our experiment was designed to determine whether mice have a direct effect on invertebrate abundance, biomass and community structure, or an effect on the vegetation community and thus potentially an indirect effect on invertebrates. We constructed five wire-mesh mouse-free exclosures in one habitat type on Marion Island and recorded both the soil macro-invertebrate community and the vegetation inside and outside each of the exclosures before the start of the experiment in 1996 and twice thereafter (1998 and 2000). Mice had no significant effect on any of the eight prey groups' abundance or biomass, or on community structure (diversity and composition). Four of the prey groups changed significantly over time in either biomass or abundance, independent of the presence of mice. Our results, which may have been affected by generally low statistical power, suggest that factors other than mice had a larger impact on invertebrates than mice alone.</t>
  </si>
  <si>
    <t>Univ Pretoria, Dept Zool &amp; Entomol, Conservat Ecol Res Unit, ZA-0002 Pretoria, South Africa</t>
  </si>
  <si>
    <t>University of Pretoria</t>
  </si>
  <si>
    <t>Univ Pretoria, Dept Zool &amp; Entomol, Conservat Ecol Res Unit, ZA-0002 Pretoria, South Africa.</t>
  </si>
  <si>
    <t>rjvaarde@zoology.up.ac.za</t>
  </si>
  <si>
    <t>1442-9985</t>
  </si>
  <si>
    <t>1442-9993</t>
  </si>
  <si>
    <t>AUSTRAL ECOL</t>
  </si>
  <si>
    <t>Austral Ecol.</t>
  </si>
  <si>
    <t>10.1111/j.1442-9993.2004.01341.x</t>
  </si>
  <si>
    <t>809HR</t>
  </si>
  <si>
    <t>WOS:000220628300010</t>
  </si>
  <si>
    <t>Wetzel, DL; Reynolds, JE</t>
  </si>
  <si>
    <t>Definitive identification of fatty acid constituents in marine mammal tissues</t>
  </si>
  <si>
    <t>ANTARCTIC FUR SEALS; PICOLINYL ESTERS; SIGNATURES; CHROMATOGRAPHY; SHIFTS; LIPIDS; FISH; OILS; DIET</t>
  </si>
  <si>
    <t>Analyses of fatty acid constituents in a sample of bowhead whale (Balaena mysticetus) blubber were conducted using a method that has not been applied before to studies of lipids in marine mammals. It involves creation and analysis of nitrogen (picolinyl) ester derivatives of the fatty acids followed by combined gas chromatography - mass spectrometry for verification of structures. Use of this approach allowed the structural confirmation of 45 different fatty acids in the blubber sample. The traditional method of methyl ester derivatization of fatty acids followed by gas chromatography - mass spectrometry analyses provides more component characterization than analyses by gas chromatography - flame ionization detection, but not enough to effectively differentiate double bond isomers or branched compounds. Although the novel approach is time intensive, we recommend that it be employed for studies where the precise identification and confirmation of fatty acids is important.</t>
  </si>
  <si>
    <t>Mote Marine Lab, Sarasota, FL 34236 USA</t>
  </si>
  <si>
    <t>Mote Marine Laboratory &amp; Aquarium</t>
  </si>
  <si>
    <t>Mote Marine Lab, 1600 Ken Thompson Pkwy, Sarasota, FL 34236 USA.</t>
  </si>
  <si>
    <t>dana@mote.org</t>
  </si>
  <si>
    <t>10.1139/F04-021</t>
  </si>
  <si>
    <t>829CA</t>
  </si>
  <si>
    <t>WOS:000222019600007</t>
  </si>
  <si>
    <t>Liu, JZ; Zou, YL; Li, CL; Xu, L; Ouyang, ZY</t>
  </si>
  <si>
    <t>A study on the recovery and classification of meteorites from the Mt. Grove region of Antarctica</t>
  </si>
  <si>
    <t>CHINESE JOURNAL OF ASTRONOMY AND ASTROPHYSICS</t>
  </si>
  <si>
    <t>earth; meteorites</t>
  </si>
  <si>
    <t>MOUNTAINS</t>
  </si>
  <si>
    <t>The Antarctic Continent has become the largest natural preservatory of meteorites in the world because of its unique geographical position and climatic conditions. Mt. Grove is located in the inland area of the Antarctic Continent where the conditions are favorable for the preservation of meteorites. During China's 15th, 16th and 19th Antarctic Scientific Explorations a large number of meteorites were recovered in the Mt. Grove region. Especially during the 19th Exploration in 2002/03 a total of 4448 meteorites were recovered, which at one stroke put China among countries that have recovered most numbers of meteorites. Here, we report mainly the results of microscope and electron microprobe studies of 28 meteorites recovered during the 16th Exploration. The meteorites are chemically classified based on their mean Fa contents of olivine, mean Fs contents of low-Ca pyroxene and abundances of Fe-Ni metal. We also give a brief account of the meteorite recovery during the three Explorations and of some preliminary classification results of the Antarctic meteorites.</t>
  </si>
  <si>
    <t>Chinese Acad Sci, Natl Astron Observ, Beijing 100012, Peoples R China; Chinese Acad Sci, Inst Geochem, Guiyang 550002, Peoples R China</t>
  </si>
  <si>
    <t>Chinese Academy of Sciences; National Astronomical Observatory, CAS; Chinese Academy of Sciences; Institute of Geochemistry, CAS</t>
  </si>
  <si>
    <t>Liu, JZ (corresponding author), Chinese Acad Sci, Natl Astron Observ, Beijing 100012, Peoples R China.</t>
  </si>
  <si>
    <t>jzliu007@bao.ac.cn</t>
  </si>
  <si>
    <t>1009-9271</t>
  </si>
  <si>
    <t>CHINESE J ASTRON AST</t>
  </si>
  <si>
    <t>Chin. J. Astron. Astrophys.</t>
  </si>
  <si>
    <t>10.1088/1009-9271/4/2/166</t>
  </si>
  <si>
    <t>815JD</t>
  </si>
  <si>
    <t>WOS:000221037700007</t>
  </si>
  <si>
    <t>Harvey, LDD</t>
  </si>
  <si>
    <t>Declining temporal effectiveness of carbon sequestration: Implications for compliance with the United National Framework Convention on Climate Change</t>
  </si>
  <si>
    <t>CHANGE IMPACTS; CO2; MODEL; STABILIZATION; DISPOSAL; DIOXIDE; FUTURE; ENERGY; CALCIFICATION; UNCERTAINTIES</t>
  </si>
  <si>
    <t>Carbon sequestration is increasingly being promoted as a potential response to the risks of unrestrained emissions of CO2, either in place of or as a complement to reductions in the use of fossil fuels. However, the potential role of carbon sequestration as an (at-least partial) substitute for reductions in fossil fuel use can be properly evaluated only in the context of a long-term acceptable limit ( or range of limits) to the increase in atmospheric CO2 concentration, taking into account the response of the entire carbon cycle to artificial sequestration. Under highly stringent emission-reduction scenarios for non-CO2 greenhouse gases, 450 ppmv CO2 is the equivalent, in terms of radiative forcing of climate, to a doubling of the pre-industrial concentration of CO2. It is argued in this paper that compliance with the United Nations Framework Convention on Climate Change ( henceforth, the UNFCCC) implies that atmospheric CO2 concentration should be limited, or quickly returned to, a concentration somewhere below 450 ppmv. A quasi-one-dimensional coupled climate-carbon cycle model is used to assess the response of the carbon cycle to idealized carbon sequestration scenarios. The impact on atmospheric CO2 concentration of sequestering a given amount of CO2 that would otherwise be emitted to the atmosphere, either in deep geological formations or in the deep ocean, rapidly decreases over time. This occurs as a result of a reduction in the rate of absorption of atmospheric CO2 by the natural carbon sinks ( the terrestrial biosphere and oceans) in response to the slower buildup of atmospheric CO2 resulting from carbon sequestration. For 100 years of continuous carbon sequestration, the sequestration fraction ( defined as the reduction in atmospheric CO2 divided by the cumulative sequestration) decreases to 14% 1000 years after the beginning of sequestration in geological formations with no leakage, and to 6% 1000 years after the beginning of sequestration in the deep oceans. The difference (8% of cumulative sequestration) is due to an eflux from the ocean to the atmosphere of some of the carbon injected into the deep ocean. The coupled climate-carbon cycle model is also used to assess the amount of sequestration needed to limit or return the atmospheric CO2 concentration to 350 - 400 ppmv after phasing out all use of fossil fuels by no later than 2100. Under such circumstances, sequestration of 1 - 2 Gt C/yr by the latter part of this century could limit the peak CO2 concentration to 420 - 460 ppmv, depending on how rapidly use of fossil fuels is terminated and the strength of positive climate-carbon cycle feedbacks. To draw down the atmospheric CO2 concentration requires creating negative emissions through sequestration of CO2 released as a byproduct of the production of gaseous fuels from biomass primary energy. Even if fossil fuel emissions fall to zero by 2100, it will be difficult to create a large enough negative emission using biomass energy to return atmospheric CO2 to 350 ppmv within 100 years of its peak. However, building up soil carbon could help in returning CO2 to 350 ppmv within 100 years of its peak. In any case, a 100-year period of climate corresponding to the equivalent of a doubled-CO2 concentration would occur before temperatures decreased. Nevertheless, returning the atmospheric CO2 concentration to 350 ppmv would reduce longterm sea level rise due to thermal expansion and might be sufficient to prevent the irreversible total melting of the Greenland ice sheet, collapse of the West Antarctic ice sheet, and abrupt changes in ocean circulation that might otherwise occur given a prolonged doubled-CO2 climate. Recovery of coral reef ecosystems, if not already driven to extinction, could begin.</t>
  </si>
  <si>
    <t>Univ Toronto, Dept Geog, Toronto, ON M5S 3G3, Canada</t>
  </si>
  <si>
    <t>University of Toronto</t>
  </si>
  <si>
    <t>Univ Toronto, Dept Geog, 100 St George St, Toronto, ON M5S 3G3, Canada.</t>
  </si>
  <si>
    <t>harvey@geog.utoronto.ca</t>
  </si>
  <si>
    <t>10.1023/B:CLIM.0000018511.36935.e0</t>
  </si>
  <si>
    <t>800CB</t>
  </si>
  <si>
    <t>WOS:000220005400002</t>
  </si>
  <si>
    <t>Clark, MS; Clarke, A; Cockell, CS; Convey, P; Detrich, HW; Fraser, KPP; Johnston, IA; Methe, BA; Murray, AE; Peck, LS; Römisch, K; Rogers, AD</t>
  </si>
  <si>
    <t>Antarctic genomics</t>
  </si>
  <si>
    <t>COMPARATIVE AND FUNCTIONAL GENOMICS</t>
  </si>
  <si>
    <t>Antarctic; genomics; psychrophilic; stenothermal; marine; terrestrial; environment; evolution</t>
  </si>
  <si>
    <t>CLIMATE-CHANGE; PLANKTONIC ARCHAEA; EXPRESSION; POPULATION; ADAPTATION; INCREASES; COMMUNITY; BACTERIA; FISHES</t>
  </si>
  <si>
    <t>With the development of genomic science and its battery of technologies, polar biology stands on the threshold of a revolution, one that will enable the investigation of important questions of unprecedented scope and with extraordinary depth and precision. The exotic organisms of polar ecosystems are ideal candidates for genomic analysis. Through such analyses, it will be possible to learn not only the novel features that enable polar organisms to survive, and indeed thrive, in their extreme environments, but also fundamental biological principles that are common to most, if not all, organisms. This article aims to review recent developments in Antarctic genomics and to demonstrate the global context of such studies. Copyright (C) 2004 John Wiley Sons, Ltd.</t>
  </si>
  <si>
    <t>British Antarctic Survey, NERC, Cambridge CB3 0ET, England; Northeastern Univ, Dept Biol, Boston, MA 02115 USA; Univ St Andrews, Gatty Marine Lab, St Andrews KY16 8LB, Fife, Scotland; TIGR, Rockville, MD 20850 USA; Desert Res Inst, Reno, NV 89512 USA; Univ Cambridge, CIMR, Cambridge CB2 2XY, England; Univ Cambridge, Dept Clin Biochem, Cambridge CB2 2XY, England</t>
  </si>
  <si>
    <t>UK Research &amp; Innovation (UKRI); Natural Environment Research Council (NERC); NERC British Antarctic Survey; Northeastern University; University of St Andrews; J. Craig Venter Institute; Nevada System of Higher Education (NSHE); Desert Research Institute NSHE; University of Cambridge; University of Cambridge</t>
  </si>
  <si>
    <t>Johnston, Ian A/D-6592-2013; Johnston, Ian A./AAE-2044-2019; Convey, Peter/AAV-5728-2020; Römisch, Karin/AAO-1210-2021; Clark, Melody/D-7371-2014</t>
  </si>
  <si>
    <t>Convey, Peter/0000-0001-8497-9903; Römisch, Karin/0000-0003-0415-6558; Rogers, Alex David/0000-0002-4864-2980; Clark, Melody/0000-0002-3442-3824</t>
  </si>
  <si>
    <t>HINDAWI LTD</t>
  </si>
  <si>
    <t>ADAM HOUSE, 3RD FLR, 1 FITZROY SQ, LONDON, W1T 5HF, ENGLAND</t>
  </si>
  <si>
    <t>1531-6912</t>
  </si>
  <si>
    <t>1532-6268</t>
  </si>
  <si>
    <t>COMP FUNCT GENOM</t>
  </si>
  <si>
    <t>Compar. Funct. Genom.</t>
  </si>
  <si>
    <t>10.1002/cfg.398</t>
  </si>
  <si>
    <t>Biochemistry &amp; Molecular Biology; Biotechnology &amp; Applied Microbiology; Genetics &amp; Heredity</t>
  </si>
  <si>
    <t>825UM</t>
  </si>
  <si>
    <t>Green Published, gold</t>
  </si>
  <si>
    <t>WOS:000221783900003</t>
  </si>
  <si>
    <t>Nogales, M; Martín, A; Tershy, BR; Donlan, CJ; Witch, D; Puerta, N; Wood, B; Alonso, J</t>
  </si>
  <si>
    <t>A review of feral cat eradication on islands</t>
  </si>
  <si>
    <t>CONSERVATION BIOLOGY</t>
  </si>
  <si>
    <t>eradication; Felis catus; feral cat; islands; predation effect</t>
  </si>
  <si>
    <t>ANTARCTIC MARION-ISLAND; FELIS-CATUS; NEW-ZEALAND; INTRODUCED MAMMALS; SOCORRO-ISLAND; GOLDEN EAGLES; FOOD-HABITS; DEER MOUSE; LIZARD; CONSERVATION</t>
  </si>
  <si>
    <t>Feral cats are directly responsible for a large percentage of global extinctions, particularly on islands. We reviewed feral cat eradication programs with the intent of providing information for future island conservation actions. Most insular cat introductions date from the nineteenth and twentieth centuries, whereas successful eradication programs have been carried out in the last 30 years, most in the last decade. Globally, feral cats have been removed from at least 48 islands: 16 in Baja California (Mexico), 10 in New Zealand, 5 in Australia, 4 in the Pacific Ocean, 4 in Seychelles, 3 in the sub-Antarctic, 3 in Macaronesia (Atlantic Ocean), 2 in Mauritius, and 1 in the Caribbean. The majority of these islands (75%; n = 36) are small (less than or equal to5 km(2)). The largest successful eradication campaign took place on Marion Island (290 km(2)), but cats have been successfully removed from only 10 islands (21%) of greater than or equal to 10 km(2). On Cousine Island (Seychelles) cat density reached 243 cats/km(2), but on most islands densities did not exceed 79.2 cats/km(2) (n = 22; 81%). The most common methods in successful eradication programs were trapping and hunting (often with dogs; 91% from a total of 43 islands). Frequently, these methods were used together. Other methods included poisoning (1080; monofluoracetate in fish baits, n = 13; 31%), secondary poisoning from poisoned rats (n = 4; 10%), and introduction of viral disease (feline panleucopaenia; n = 2; 5%). Impacts from cat predation and, more recently, the benefits of cat eradications have been increasingly documented. These impacts and benefits, combined with the continued success of eradication campaigns on larger islands, show the value and role of feral cat eradications in biodiversity conservation. However, new and more efficient techniques used in combination with current techniques will likely be needed for success on larger islands.</t>
  </si>
  <si>
    <t>Univ La Laguna, Dept Biol Anim Zool, E-38206 Tenerife, Canary Islands, Spain; Univ Calif Santa Cruz, Long Marine Lab, Isl Conservat &amp; Ecol Grp, Santa Cruz, CA 95060 USA; Cornell Univ, Dept Ecol &amp; Evolutionary Biol, Ithaca, NY 14853 USA</t>
  </si>
  <si>
    <t>Universidad de la Laguna; University of California System; University of California Santa Cruz; Cornell University</t>
  </si>
  <si>
    <t>Univ La Laguna, Dept Biol Anim Zool, E-38206 Tenerife, Canary Islands, Spain.</t>
  </si>
  <si>
    <t>mnogales@ull.es</t>
  </si>
  <si>
    <t>Nogales, Manuel/I-9831-2014</t>
  </si>
  <si>
    <t>Nogales, Manuel/0000-0002-5327-3104</t>
  </si>
  <si>
    <t>0888-8892</t>
  </si>
  <si>
    <t>1523-1739</t>
  </si>
  <si>
    <t>CONSERV BIOL</t>
  </si>
  <si>
    <t>Conserv. Biol.</t>
  </si>
  <si>
    <t>10.1111/j.1523-1739.2004.00442.x</t>
  </si>
  <si>
    <t>808KF</t>
  </si>
  <si>
    <t>WOS:000220567300007</t>
  </si>
  <si>
    <t>Vincent, WF; Mueller, DR; Bonilla, S</t>
  </si>
  <si>
    <t>Ecosystems on ice: the microbial ecology of Markham Ice Shelf in the high Arctic</t>
  </si>
  <si>
    <t>CRYOBIOLOGY</t>
  </si>
  <si>
    <t>Annual Joint Meeting of the Society-for-Cryobiology/Society-for-Low-Temperature-Biology</t>
  </si>
  <si>
    <t>SEP 14-18, 2003</t>
  </si>
  <si>
    <t>Univ Coimbra, Coimbra, PORTUGAL</t>
  </si>
  <si>
    <t>Univ Coimbra</t>
  </si>
  <si>
    <t>algae; Arctic; cyanobacteria; cryo-ecosystems; extremophiles; ice; lutein; microbiology; pigments; polar; scytonemin; snowball earth</t>
  </si>
  <si>
    <t>LIFE; SCYTONEMIN; HABITAT; LAKE</t>
  </si>
  <si>
    <t>Microbial communities occur throughout the cryosphere in a diverse range of ice-dominated habitats including snow, sea ice, glaciers, permafrost, and ice clouds. In each of these environments, organisms must be capable of surviving freeze-thaw cycles, persistent low temperatures for growth, extremes of solar radiation, and prolonged dormancy. These constraints may have been especially important during global cooling events in the past, including the Precambrian glaciations. One analogue of these early Earth conditions is the thick, landfast sea ice that occurs today at certain locations in the Arctic and Antarctic. These ice shelves contain liquid water for a brief period each summer, and support luxuriant microbial mat communities. Our recent studies of these mats on the Markham Ice Shelf (Canadian high Arctic) by high performance liquid chromatography (HPLC) showed that they contain high concentrations of chlorophylls a and b, and several carotenoids notably lutein, echinenone and beta-carotene. The largest peaks in the HPLC chromatograms were two UV-screening compounds known to be produced by cyanobacteria, scytonemin, and its decomposition product scytonemin-red. Microscopic analyses of the mats showed that they were dominated by the chlorophyte genera cf. Chlorosarcinopsis, Pleurastrum, Palmellopsis, and Bracteococcus, and cyanobacteria of the genera Nostoc, Phormidium, Leptolyngbya, and Gloeocapsa. From point transects and localized sampling we estimated a total standing stock on this ice shelf of up to 11,200 tonnes of organic matter. These observations underscore the ability of microbial communities to flourish despite the severe constraints imposed by the cryo-ecosystem environment. (C) 2004 Elsevier Inc. All rights reserved.</t>
  </si>
  <si>
    <t>Univ Laval, Ctr Etudes Nord, Ste Foy, PQ G1K 7P4, Canada; Univ Repub, Fac Ciencias, Montevideo 11400, Uruguay</t>
  </si>
  <si>
    <t>Laval University; Universidad de la Republica, Uruguay</t>
  </si>
  <si>
    <t>Univ Laval, Ctr Etudes Nord, Ste Foy, PQ G1K 7P4, Canada.</t>
  </si>
  <si>
    <t>warwick.vincent@bio.ulaval.ca</t>
  </si>
  <si>
    <t>Vincent, Warwick F/C-9522-2009; Vincent, Warwick/AAH-6152-2019</t>
  </si>
  <si>
    <t>Vincent, Warwick/0000-0001-9055-1938; Bonilla, Sylvia/0000-0002-1772-9899; Mueller, Derek/0000-0003-1974-319X</t>
  </si>
  <si>
    <t>0011-2240</t>
  </si>
  <si>
    <t>1090-2392</t>
  </si>
  <si>
    <t>Cryobiology</t>
  </si>
  <si>
    <t>10.1016/j.cryobiol.2004.01.006</t>
  </si>
  <si>
    <t>817ZD</t>
  </si>
  <si>
    <t>WOS:000221214500002</t>
  </si>
  <si>
    <t>Ochyra, R</t>
  </si>
  <si>
    <t>Schistidium leptoneurum species nova from the South Shetland Islands, Antarctica</t>
  </si>
  <si>
    <t>CRYPTOGAMIE BRYOLOGIE</t>
  </si>
  <si>
    <t>Bryophyta; Grimmiaceae; Schistidium; Antarctica; South Shetland Islands; taxonomy; distribution</t>
  </si>
  <si>
    <t>GRIMMIACEAE; BRYOPSIDA</t>
  </si>
  <si>
    <t>Schistidium leptoneurum is described as a new species from King George Island and Deception Island in the South Shetland Islands archipelago in West Antarctica. It clearly belongs to sect. Conferta on account of the presence of the distinct basal marginal border in the vegetative leaves. The new species differs from all other local species of the genus Schistidium in having very narrow and weak costae which are 35-40 mum wide, bistratose throughout and not or scarcely convex on the dorsal side, and those in the perichaetial leaves end far below the apices. Moreover, S. leptoneurum has a well-developed peristome and its vegetative leaves are epilose and shorter than 1.3 mm, making it the smallest species of the genus in the Antarctic.</t>
  </si>
  <si>
    <t>Polish Acad Sci, Lab Bryol, Inst Bot, PL-31512 Krakow, Poland</t>
  </si>
  <si>
    <t>Ochyra, R (corresponding author), Polish Acad Sci, Lab Bryol, Inst Bot, Ul Lubicz 46, PL-31512 Krakow, Poland.</t>
  </si>
  <si>
    <t>r.ochyra@ib-pan.krakow.pl</t>
  </si>
  <si>
    <t>Ochyra, Ryszard/0000-0002-2541-0722</t>
  </si>
  <si>
    <t>1290-0796</t>
  </si>
  <si>
    <t>CRYPTOGAMIE BRYOL</t>
  </si>
  <si>
    <t>Cryptogam. Bryol.</t>
  </si>
  <si>
    <t>APR-JUN</t>
  </si>
  <si>
    <t>825VV</t>
  </si>
  <si>
    <t>WOS:000221787600003</t>
  </si>
  <si>
    <t>Alibo, DS; Nozaki, Y</t>
  </si>
  <si>
    <t>Dissolved rare earth elements in the eastern Indian Ocean: chemical tracers of the water masses</t>
  </si>
  <si>
    <t>rare earth elements; chemical tracer; water mass; Indonesian throughflow</t>
  </si>
  <si>
    <t>ISOTOPIC COMPOSITIONS; HYDROGRAPHIC SECTION; SOUTHERN-OCEAN; PACIFIC-OCEAN; CIRCULATION; SEA; NEODYMIUM; SEAWATER; DEEP; VENTILATION</t>
  </si>
  <si>
    <t>New data on vertical profiles of dissolved rare earth elements (REEs) in the southeastern Indian Ocean are presented. The compositions of dissolved REEs are uniquely characterized by strong depletion in the light REEs; the extent of depletion decreasing systematically from La to Sm, as compared to those in the western Indian Ocean and the South Pacific. Dissolved Gd is also anomalously depleted in many of the water masses occupying this region. The LREE depleted patterns with a Gd deficit appear to be derived by input from volcanic sources around the Indonesian Archipelago, although the exact location and mechanism are not yet well understood. Nevertheless, the unique REE patterns can be used to trace the pathways of the water masses in the eastern Indian Ocean. The salinity minimum centered at similar to1100 m at 40degreesS in the Antarctic Circumpolar region, southwest of Australia, can be considered as a boundary between the upper and the deeper layers, since the REE patterns around that depth are clearly different from those of the Antarctic Intermediate Water (AAIW) at 30degreesS on the Perth Basin and can be produced largely by mixing of the two waters. The unique REE patterns of AAIW with no significant Gd deficit between 497 and 2474 m in the Perth Basin indicate that the waters must be derived from somewhere else by lateral transport. The upper portion of the intermediate waters may be derived from a near-surface region in the Subantarctic zone, including the southernmost station in this study (40degreesS), and the deeper part may be contributed from the South Pacific reaching the area from south of Tasmania. The northward flow of the intermediate waters can be traced by the characteristic REE patterns at least to 10degreesS in the southeastern Indian Ocean, but does not reach the Bay of Bengal. The surface waters in the North Australia Basin have REE patterns similar to those of the surface waters in the western equatorial Pacific, suggesting a strong influence of Pacific waters to the region north of Australia. The light REE and Gd-deficient patterns are also found in the deep and bottom waters of the southeastern basins as well as in the surface waters from subtropical to temperate offshore regions, and they are presumably due to the influence of the Indonesian Archipelago. The unique pattern is clearly traced to the station at 40degreesS, 110degreesE, in the South Australia Basin, suggesting a southward flow of deep and bottom waters along the eastern edge of the Indian Ocean. (C) 2003 Elsevier Ltd. All rights reserved.</t>
  </si>
  <si>
    <t>Univ Tokyo, Ocean Res Inst, Marine Inorgan Chem Div, Nakano Ku, Tokyo 1648639, Japan</t>
  </si>
  <si>
    <t>Univ San Carlos, Dept Chem, Cebu 6000, Philippines.</t>
  </si>
  <si>
    <t>dsalibo@staff.usc.edu.ph</t>
  </si>
  <si>
    <t>10.1016/j.dsr.2003.11.004</t>
  </si>
  <si>
    <t>815DT</t>
  </si>
  <si>
    <t>WOS:000221023700004</t>
  </si>
  <si>
    <t>Parsons, AN; Barrett, JE; Wall, DH; Virginia, RA</t>
  </si>
  <si>
    <t>Soil carbon dioxide flux in Antarctic dry valley ecosystems</t>
  </si>
  <si>
    <t>ECOSYSTEMS</t>
  </si>
  <si>
    <t>Antarctica; dry valleys; carbon dioxide flux; carbon cycle; soil respiration; soil organic matter</t>
  </si>
  <si>
    <t>TAYLOR VALLEY; ORGANIC-CARBON; CO2; DESERT; MARS; PRESSURE; REGOLITH; SNOW</t>
  </si>
  <si>
    <t>The Antarctic dry valleys of southern Victoria Land are extreme desert environments where abiotic factors, such as temperature gradients, parent material, and soil water dynamics, may have a significant influence on soil carbon dioxide (CO2) flux. Previous measurements of soil respiration have demonstrated very low rates of CO2, efflux, barely above detection limits. We employed a modified infrared gas-analyzer system that enabled detection of smaller changes in CO2 concentration in the field than previously possible. We measured diel CO2 fluxes and monitored soil microclimate at three sites in Taylor Valley. Soil CO2 flux ranged from -0.1 to 0.15 mumol m(-2) s(-1). At two of the three sites, we detected a physically driven flux associated with diel variability in soil temperature. At these sites, CO2 uptake (negative flux) was associated with dropping soil temperatures, whereas CO, evolution (positive flux) was associated with increases in soil temperature. These observations are corroborated by laboratory experiments that suggest that CO2 flux is influenced by physically driven processes. We discuss four potential mechanisms that may contribute to physically driven gas exchange. Our results suggest there are strong interactions between biological and abiotic controls over soil CO2 flux in terrestrial ecosystems of the Antarctic dry valleys, and that the magnitude of either may dominate depending on the soil environment and biological activity.</t>
  </si>
  <si>
    <t>Colorado State Univ, Natl Resource Ecol Lab, Ft Collins, CO 80523 USA; Dartmouth Coll, Environm Studies Program, Hanover, NH 03755 USA</t>
  </si>
  <si>
    <t>Colorado State University; Dartmouth College</t>
  </si>
  <si>
    <t>Colorado State Univ, Natl Resource Ecol Lab, Ft Collins, CO 80523 USA.</t>
  </si>
  <si>
    <t>diana@nrel.colostate.edu</t>
  </si>
  <si>
    <t>Barrett, John/0000-0002-7610-0505</t>
  </si>
  <si>
    <t>1432-9840</t>
  </si>
  <si>
    <t>1435-0629</t>
  </si>
  <si>
    <t>Ecosystems</t>
  </si>
  <si>
    <t>10.1007/s10021-003-0132-1</t>
  </si>
  <si>
    <t>825NQ</t>
  </si>
  <si>
    <t>WOS:000221765600006</t>
  </si>
  <si>
    <t>Reddy, CM; Xu, L; O'Neil, GW; Nelson, RK; Eglinton, TI; Faulkner, DJ; Norstrom, R; Ross, PS; Tittlemier, SA</t>
  </si>
  <si>
    <t>Radiocarbon evidence for a naturally produced, bioaccumulating halogenated organic compound</t>
  </si>
  <si>
    <t>POLYCYCLIC AROMATIC-HYDROCARBONS; DIMETHYL BIPYRROLES; DEEP-SEA; NORTH; CARBON; METABOLITES; Q1; CONTAMINANT; ALTEROMONAS; APPORTION</t>
  </si>
  <si>
    <t>Halogenated organic compounds (HOCs) such as 1,1'-dimethyl-3,3',4,4'-tetrabromo-5,5'-dichloro-2,2'-bipyrrole (DBP-Br4Cl2) and heptachloro-1'-methyl-1,2'-bipyrrole (Q1) have been detected worldwide, sometimes at high levels in Antarctic air, seabird eggs, the blubber of marine mammals, and, most notably, even human milk. To date, it has been difficult to determine whether these compounds are natural products or derived from industrial synthesis. Molecular-level C-14 analysis of these compounds is particularly appealing because most industrial compounds are manufactured from petrochemicals (C-14-free) and natural compounds should have modern or contemporary C-14 levels. To investigate the source of DBP-Br4Cl2, we isolated 600 mug of this compound (150 mug of carbon) from marine animal extracts by employing gel permeation chromatography, Florisil column chromatography, and two-dimensional preparative Capillary gas chromatography. The purified DBP-Br4Cl2 was split into two samples (75 ug of carbon each) and analyzed by accelerator mass spectrometry for C-14 content. The Delta(14)C values were -449parts per thousand and -467parts per thousand, corresponding to conventional C-14 ages of 4740 and 5000 years before present (BP), respectively. The presence of detectable C-14 in the DBP-Br4Cl2 strongly points to at least a natural or biogenic source. However these Delta(14)C values for DBP-Br4Cl2 are more depleted than expected for a recently synthesized natural product. Several explanations are discussed, but additional samples from discrete locations need to be analyzed before a clear understanding of the source (or sources) of this compound (and other unknown HOCs) is fully determined.</t>
  </si>
  <si>
    <t>Woods Hole Oceanog Inst, Dept Marine Chem &amp; Geochem, Woods Hole, MA 02543 USA; Univ Calif San Diego, Scripps Inst Oceanog, La Jolla, CA 92093 USA; Canadian Wildlife Serv, Natl Wildlife Res Ctr, Environm Canada, Ottawa, ON K1A 0H3, Canada; Fisheries &amp; Oceans Canada, Inst Ocean Sci, Sidney, BC V8L 4B2, Canada; Carleton Univ, Ctr Analyt &amp; Environm Chem, Ottawa, ON K1S 5B6, Canada</t>
  </si>
  <si>
    <t>Woods Hole Oceanographic Institution; University of California System; University of California San Diego; Scripps Institution of Oceanography; Environment &amp; Climate Change Canada; Canadian Wildlife Service; National Wildlife Research Centre - Canada; Fisheries &amp; Oceans Canada; Carleton University</t>
  </si>
  <si>
    <t>Woods Hole Oceanog Inst, Dept Marine Chem &amp; Geochem, Woods Hole, MA 02543 USA.</t>
  </si>
  <si>
    <t>creddy@whoi.edu</t>
  </si>
  <si>
    <t>Faulkner, Douglas/X-2052-2019</t>
  </si>
  <si>
    <t>Reddy, Christopher/0000-0002-7814-2071; Nelson, Robert/0000-0003-0534-5801; Eglinton, Timothy/0000-0001-5060-2155</t>
  </si>
  <si>
    <t>10.1021/es030568i</t>
  </si>
  <si>
    <t>808OG</t>
  </si>
  <si>
    <t>WOS:000220577800023</t>
  </si>
  <si>
    <t>Mauck, RA; Huntington, CE; Grubb, TC</t>
  </si>
  <si>
    <t>Age-specific reproductive success: Evidence for the selection hypothesis</t>
  </si>
  <si>
    <t>age-specific; life history; lifetime reproductive success; seabirds; selection hypothesis</t>
  </si>
  <si>
    <t>LONG-LIVED BIRDS; BREEDING BLUE TITS; MATE FIDELITY; BODY CONDITION; STORM-PETRELS; SITE FIDELITY; NEST-SITE; EUROPEAN BLACKBIRDS; ANTARCTIC SEABIRD; TREE SWALLOWS</t>
  </si>
  <si>
    <t>Age-specific reproductive success has been demonstrated in many species. Three hypotheses have been raised to explain this general phenomenon: the experience hypothesis based on age-specific reproductive experience, the effort hypothesis based on age-specific reproductive effort, and the selection hypothesis based on progressive disappearance of phenotypes due to variation in individual productivity and survival. We used data from a long-term study of Leach's storm-petrels (Oceanodroma leucorhoa) to present a single test of mutually exclusive predictions about the relationship between early breeding success and longevity. There should be no correlation between early breeding success and longevity under the experience hypothesis, a negative correlation under the effort hypothesis, and a positive correlation under the selection hypothesis. We found a significant (P &lt; 0.0001) positive relationship between success in the first two breeding attempts and longevity in this population of long-lived seabirds, strongly suggesting that low-productivity parents were also less likely to survive early breeding. These data provide some of the strongest support to date for the selection hypothesis.</t>
  </si>
  <si>
    <t>Ohio State Univ, Dept Ecol Evolut &amp; Organismal Biol, Columbus, OH 43210 USA; Bowdoin Coll, Dept Biol, Brunswick, ME 04011 USA</t>
  </si>
  <si>
    <t>University System of Ohio; Ohio State University; Bowdoin College</t>
  </si>
  <si>
    <t>Kenyon Coll, Dept Biol, Gambier, OH 43022 USA.</t>
  </si>
  <si>
    <t>petrel@gwi.net; grubb.1@osu.edu</t>
  </si>
  <si>
    <t>Mauck, Robert/0000-0003-0534-4411</t>
  </si>
  <si>
    <t>10.1554/03-147</t>
  </si>
  <si>
    <t>818GX</t>
  </si>
  <si>
    <t>WOS:000221234700019</t>
  </si>
  <si>
    <t>Duilio, A; Madonna, S; Tutino, ML; Pirozzi, M; Sannia, G; Marino, G</t>
  </si>
  <si>
    <t>Promoters from a cold-adapted bacterium: definition of a consensus motif and molecular characterization of UP regulative elements</t>
  </si>
  <si>
    <t>EXTREMOPHILES</t>
  </si>
  <si>
    <t>adaptation to cold; promoter consensus sequence; Pseudoalteromonas haloplanktis; psychrophilic bacteria; UP regulative sequence</t>
  </si>
  <si>
    <t>ESCHERICHIA-COLI; RNA-POLYMERASE; ALPHA-SUBUNIT; PSEUDOALTEROMONAS-HALOPLANKTIS; ACTINOBACILLUS-PLEUROPNEUMONIAE; ANTARCTIC BACTERIUM; TERMINAL DOMAIN; EXPRESSION; CLONING; GENE</t>
  </si>
  <si>
    <t>Although low-temperature tolerant micro-organisms were discovered long ago, limited information is still available on the transcription machinery in cold-adapted bacteria. This knowledge represents a necessary background for the investigation of the adaptation of gene-expression mechanisms at low temperatures. The recent development of a shuttle genetic system for the transformation of the cold-adapted Gram-negative bacterium Pseudoalteromonas haloplanktis strain TAC125 has made possible the isolation of the psychrophilic promoters described in this paper. TAC125 genomic DNA fragments were cloned in the shuttle vector and the promoter-containing recombinant clones were selected for their ability to express a promoter-less lacZ gene. The nucleotide sequence of several selected inserts and the transcription start points of the transcribed m-RNAs were determined. A promoter consensus sequence for Pseudoalteromonas haloplanktis TAC125 was proposed on the basis of a sequence comparison between the various active promoters. Furthermore, the identification and the functional characterization of two UP elements from this cold-adapted bacterium are also reported.</t>
  </si>
  <si>
    <t>Univ Naples Federico II, Dipartimento Chim Organ &amp; Biochim, I-80126 Naples, Italy; Univ Naples Federico II, Fac Sci Biotecnol, I-80126 Naples, Italy</t>
  </si>
  <si>
    <t>University of Naples Federico II; University of Naples Federico II</t>
  </si>
  <si>
    <t>Duilio, A (corresponding author), Univ Naples Federico II, Dipartimento Chim Organ &amp; Biochim, Complesso Univ Monte Sant Angelo,Via Cynthia, I-80126 Naples, Italy.</t>
  </si>
  <si>
    <t>anduilio@unina.it</t>
  </si>
  <si>
    <t>Madonna, stefania/AAC-3381-2022; PIROZZI, MARINELLA/ITU-8191-2023; TUTINO, MARIA LUISA/L-1834-2013</t>
  </si>
  <si>
    <t>PIROZZI, MARINELLA/0000-0002-1714-2000; Tutino, Maria Luisa/0000-0002-4978-6839; DUILIO, Angela/0000-0002-6833-1303; SANNIA, Giovanni/0000-0002-7986-6223</t>
  </si>
  <si>
    <t>SPRINGER-VERLAG TOKYO</t>
  </si>
  <si>
    <t>3-3-13, HONGO, BUNKYO-KU, TOKYO, 113-0033, JAPAN</t>
  </si>
  <si>
    <t>1431-0651</t>
  </si>
  <si>
    <t>Extremophiles</t>
  </si>
  <si>
    <t>10.1007/s00792-003-0371-2</t>
  </si>
  <si>
    <t>810CV</t>
  </si>
  <si>
    <t>WOS:000220683300005</t>
  </si>
  <si>
    <t>Butler, PJ; Green, JA; Boyd, IL; Speakman, JR</t>
  </si>
  <si>
    <t>Measuring metabolic rate in the field: the pros and cons of the doubly labelled water and heart rate methods</t>
  </si>
  <si>
    <t>accuracy; field metabolic rate; precision</t>
  </si>
  <si>
    <t>BLACK-BROWED ALBATROSSES; DAILY ENERGY-EXPENDITURE; GEESE BRANTA-LEUCOPSIS; CALIFORNIA SEA LIONS; ANTARCTIC FUR SEALS; ESOX-LUCIUS L; OXYGEN-CONSUMPTION; CO2 PRODUCTION; MACARONI PENGUINS; BODY-TEMPERATURE</t>
  </si>
  <si>
    <t>1. Measuring the metabolic rate of animals in the field (FMR) is central to the work of ecologists in many disciplines. In this article we discuss the pros and cons of the two most commonly used methods for measuring FMR. 2. Both methods are constantly under development, but at the present time can only accurately be used to estimate the mean rate of energy expenditure of groups of animals. The doubly labelled water method (DLW) uses stable isotopes of hydrogen and oxygen to trace the flow of water and carbon dioxide through the body over time. From these data, it is possible to derive a single estimate of the rate of oxygen consumption ((V) over dot (o2)) for the duration of the experiment. The duration of the experiment will depend on the rate of flow of isotopes of oxygen and hydrogen through the body, which in turn depends on the animal's size, ranging from 24 h for small vertebrates to up to 28 days in Humans. 3. This technique has been used widely, partly as a result of its relative simplicity and potential low cost, though there is some uncertainty over the determination of the standard error of the estimate of mean (V) over dot (o2). 4. The heart rate (f(H)) method depends on the physiological relationship between heart rate and . 5. If these two quantities are calibrated against each other under controlled conditions, f(H) can then be measured in free-ranging animals and used to estimate (V) over dot (o2). 6. The latest generation of small implantable data loggers means that it is possible to measure f(H) for over a year on a very fine temporal scale, though the current size of the data loggers limits the size of experimental animals to around 1 kg. However, externally mounted radio-transmitters are now sufficiently small to be used with animals of less than 40 g body mass. This technique is gaining in popularity owing to its high accuracy and versatility, though the logistic constraint of performing calibrations can make its use a relatively extended process.</t>
  </si>
  <si>
    <t>Univ Birmingham, Sch Biosci, Birmingham B15 2TT, W Midlands, England; Univ St Andrews, Sea Mammal Res Unit, St Andrews KY16 8LB, Fife, Scotland; Univ Aberdeen, Aberdeen Ctr Energy Regulat &amp; Obes, Sch Biol Sci, Aberdeen AB24 2TZ, Scotland; Rowett Res Inst, Aberdeen Ctr Energy Regulat &amp; Obes, Div Energy Balance &amp; Obes, Aberdeen AB21 9SB, Scotland</t>
  </si>
  <si>
    <t>University of Birmingham; University of St Andrews; University of Aberdeen; University of Aberdeen</t>
  </si>
  <si>
    <t>Butler, PJ (corresponding author), Univ Birmingham, Sch Biosci, Birmingham B15 2TT, W Midlands, England.</t>
  </si>
  <si>
    <t>p.j.butler@bham.ac.uk</t>
  </si>
  <si>
    <t>Green, Jonathan A/B-8799-2011; John, Speakman R/A-9494-2008</t>
  </si>
  <si>
    <t>10.1111/j.0269-8463.2004.00821.x</t>
  </si>
  <si>
    <t>809GQ</t>
  </si>
  <si>
    <t>WOS:000220625600002</t>
  </si>
  <si>
    <t>Clarke, A; Fraser, KPP</t>
  </si>
  <si>
    <t>Why does metabolism scale with temperature?</t>
  </si>
  <si>
    <t>BODY-MASS; COLD ADAPTATION; DEPENDENCE; EVOLUTION; ORIGIN; RATES; SIZE; FISH; LAWS</t>
  </si>
  <si>
    <t>10.1111/j.0269-8463.2004.00841.x</t>
  </si>
  <si>
    <t>WOS:000220625600010</t>
  </si>
  <si>
    <t>Clarke, A</t>
  </si>
  <si>
    <t>Is there a Universal Temperature Dependence of metabolism?</t>
  </si>
  <si>
    <t>DIFFERENT THERMAL ENVIRONMENTS; GENERAL-MODEL; EVOLUTION; ORIGIN; LIFE; SIZE; RULE</t>
  </si>
  <si>
    <t>10.1111/j.0269-8463.2004.00842.x</t>
  </si>
  <si>
    <t>WOS:000220625600011</t>
  </si>
  <si>
    <t>Papadimitriou, S; Kennedy, H; Kattner, G; Dieckmann, GS; Thomas, DN</t>
  </si>
  <si>
    <t>Experimental evidence for carbonate precipitation and CO2 degassing during sea ice formation</t>
  </si>
  <si>
    <t>DIOXIDE SYSTEM; ORGANIC-MATTER; FRACTIONATION; SOLUBILITY; WATER; CALCITE; OXYGEN; C-13; TEMPERATURES; ALKALINITY</t>
  </si>
  <si>
    <t>Chemical and stable carbon isotopic modifications during the freezing of artificial seawater were measured in four 4 m(3) tank incubations. Three of the four incubations were inoculated with a nonaxenic Antarctic diatom culture. The 18 days of freezing resulted in 25 to 27 cm thick ice sheets overlying the residual seawater. The ice phase was characterized by a decrease in temperature from -1.9 to -2.2 degreesC in the under-ice seawater down to -6.7 degreesC in the upper 4 cm of the ice sheet, with a concurrent increase in the salinity of the under-ice seawater and brine inclusions of the ice sheet as a result of physical concentration of major dissolved salts by expulsion from the solid ice matrix. Measurements of pH, total dissolved inorganic carbon (C-T) and its stable isotopic composition (delta(13)C(T)) all exhibited changes, which suggest minimal effect by biological activity during the experiment. A systematic drop in pH and salinity-normalized C-T by up to 0.37 pH(SWS) units and 376 mumol C kg(-1) respectively at the lowest temperature and highest salinity part of the ice sheet were coupled with an equally systematic C-13 enrichment of the C-T. Calculations based on the direct pH and C-T measurements indicated a steady increase in the in situ concentration of dissolved carbon dioxide (CO2(aq)) with time and increasing salinity within the ice sheet, partly due to changes in the dissociation constants of carbonic acid in the low temperature-high salinity range within sea ice. The combined effects of temperature and salinity on the solubility of CO2 over the range of conditions encountered during this study was a slight net decrease in the equilibrium CO2(aq) concentration as a result of the salting-out overriding the increase in solubility with decreasing temperature. Hence, the increase in the in Situ CO2(aq) concentration lead to saturation or supersaturation of the brine inclusions in the ice sheet with respect to atmospheric pCO(2) (approximate to3.5 X 10(-4) atm). When all physico-chemical processes are considered, we expect CO2 degassing and carbonate mineral precipitation from the brine inclusions of the ice sheet, which were saturated or highly supersaturated with respect to both the anhydrous (calcite, aragonite, vaterite) and hydrated (ikaite) carbonate minerals. Copyright (C) 2003 Elsevier Ltd.</t>
  </si>
  <si>
    <t>Univ Wales, Sch Ocean Sci, Menai Bridge LL59 5AB, Gwynedd, Wales; Alfred Wegener Inst Polar &amp; Marine Res, D-27570 Bremerhaven, Germany</t>
  </si>
  <si>
    <t>Univ Wales, Sch Ocean Sci, Menai Bridge LL59 5AB, Gwynedd, Wales.</t>
  </si>
  <si>
    <t>s.papadimitriou@bangor.ac.uk</t>
  </si>
  <si>
    <t>Thomas, David Neville/B-1448-2010; Dieckmann, Gerhard S/B-4307-2010; Kennedy, Hilary A/M-5574-2014</t>
  </si>
  <si>
    <t>Thomas, David Neville/0000-0001-8832-5907; Kennedy, Hilary A/0000-0003-2290-2120; Papadimitriou, Stathys/0000-0001-8540-1169</t>
  </si>
  <si>
    <t>10.1016/j.gca.2003.07.004</t>
  </si>
  <si>
    <t>813FD</t>
  </si>
  <si>
    <t>WOS:000220892100006</t>
  </si>
  <si>
    <t>Nielsen, SHH; Koç, N; Crosta, X</t>
  </si>
  <si>
    <t>Holocene climate in the Atlantic sector of the Southern Ocean:: Controlled by insolation or oceanic circulation?</t>
  </si>
  <si>
    <t>Southern Ocean; paleoclimate; diatoms; modern analog technique; Holocene; insolation; Antarctic Polar Front</t>
  </si>
  <si>
    <t>ANTARCTIC PENINSULA REGION; SEA-ICE; VARIABILITY; HEMISPHERE; ANALOGS; EXTENT; ONSET; CORE</t>
  </si>
  <si>
    <t>The Holocene climate of the Southern Ocean is not well understood, mainly because of the lack of high-resolution reconstructions of ocean surface properties. Here we present a 12,500-yr-long, decadal-scale record of Holocene sea-surface temperatures and sea-ice presence from the Polar Front of the East Atlantic Southern Ocean. The record shows gradual climate change, with no abrupt Neoglacial cooling, and an unprecedented late Holocene warming. The dominant forcing factor appears to be precessional insolation; Northern Hemisphere summer insolation correlates to at least the early to middle Holocene climate trend. Spectral analysis reveals centennial-scale cyclic climate changes with periods of 1220, 1070, 400, and 150 yr. The record shows good correlation to East Antarctic ice cores and to climate records from South Georgia and Bunger Oasis. However, the record shows out-of-phase behavior with regard to climate records from the western Antarctic Peninsula and the Peru-Chile Current; such behavior hints at a climatic divide through Patagonia, the Drake Passage, and between West and East Antarctica.</t>
  </si>
  <si>
    <t>Norwegian Polar Res Inst, Polar Environm Ctr, N-9296 Tromso, Norway; Univ Bordeaux 1, CNRS, UMR 5805, EPOC,Dept Geol &amp; Oceanol, F-33405 Talence, France</t>
  </si>
  <si>
    <t>Norwegian Polar Institute; Centre National de la Recherche Scientifique (CNRS); CNRS - National Institute for Earth Sciences &amp; Astronomy (INSU); Universite de Bordeaux</t>
  </si>
  <si>
    <t>Nielsen, SHH (corresponding author), Norwegian Polar Res Inst, Polar Environm Ctr, N-9296 Tromso, Norway.</t>
  </si>
  <si>
    <t>10.1130/G20334.1</t>
  </si>
  <si>
    <t>808FB</t>
  </si>
  <si>
    <t>WOS:000220553900012</t>
  </si>
  <si>
    <t>Wannamaker, PE; Stodt, JA; Pellerin, L; Olsen, SL; Hall, DB</t>
  </si>
  <si>
    <t>Structure and thermal regime beneath the South Pole region, East Antarctica, from magnetotelluric measurements</t>
  </si>
  <si>
    <t>GEOPHYSICAL JOURNAL INTERNATIONAL</t>
  </si>
  <si>
    <t>Antarctica; electrometer; magnetotellurics; thermal regime; South Pole</t>
  </si>
  <si>
    <t>WESTERN UNITED-STATES; UPPER-MANTLE STRUCTURE; TRANSANTARCTIC MOUNTAINS; RIFT SYSTEM; ICE-SHEET; GEOPHYSICAL INVESTIGATIONS; CENOZOIC MAGMATISM; CONTINENTAL-CRUST; CONSTRAINTS; INVERSION</t>
  </si>
  <si>
    <t>Ten tensor magnetotelluric (MT) soundings have been acquired in a 54 km long profile across the South Pole area, East Antarctica. The MT transect was offset from the South Pole station similar to5 km and oriented 210 grid north, approximately normal to the Trans-Antarctic Mountains. Surveying around South Pole station was pursued for four main reasons. First, we sought to illuminate first-order structure and physico-chemical state (temperatures, fluids, melts) of the crust and upper mantle of this part of East Antarctica. Secondly, conditions around the South Pole differ from those of previous MT experience at central West Antarctica, so that the project would help to define MT surveying feasibility over the entire continent. Thirdly, the results would provide a crustal response baseline for possible long-term MT monitoring to deep upper mantle depths at the South Pole. Fourthly, because Antarctic logistics are difficult, support facilities at the South Pole enable relatively efficient survey procedures. In making the MT measurements, the high electrical contact impedance at the electrode-firn interface was overcome using a custom-design electrode pre-amplifier at the electrode with low output impedance to the remainder of the recording electronics. Non-plane-wave effects in the data were suppressed using a robust jackknife procedure that emphasized outlier removal from the vertical magnetic field records. Good quality data were obtained, but the rate of collection was hampered by low geomagnetic activity and wind-generated, electrostatic noise induced in the ice. Profile data were inverted using a 2-D algorithm that damps model departures from an a priori structure, in this case a smooth 1-D profile obtained from inversion of an integral of the TM mode impedance along the profile. Inverse models show clear evidence for a pronounced (similar to1 km thickness), conductive section below the ice tentatively correlated with porous sediments of the Beacon Supergroup. Substantial variations in sedimentary conductance are inferred, which may translate into commensurate variations in sediment thickness. Low resistivities below similar to30 km suggest thermal activity in the lower crust and upper mantle, and mantle support for this region of elevated East Antarctica. This contrasts with resistivity structure imaged previously in central West Antarctica, where resistivity remains high into the upper mantle consistent with a fossil state of extensional activity there.</t>
  </si>
  <si>
    <t>Univ Utah, Energy &amp; Geosci Inst, Salt Lake City, UT 84108 USA; RedRock Analog Design, Salt Lake City, UT 84105 USA; Univ Utah, Dept Geol &amp; Geophys, Salt Lake City, UT 84112 USA</t>
  </si>
  <si>
    <t>Utah System of Higher Education; University of Utah; Utah System of Higher Education; University of Utah</t>
  </si>
  <si>
    <t>Univ Utah, Energy &amp; Geosci Inst, 423 Wakara Way,Suite 300, Salt Lake City, UT 84108 USA.</t>
  </si>
  <si>
    <t>pewanna@egi.utah.edu</t>
  </si>
  <si>
    <t>Wannamaker, Phil/0000-0001-5744-6474</t>
  </si>
  <si>
    <t>0956-540X</t>
  </si>
  <si>
    <t>1365-246X</t>
  </si>
  <si>
    <t>GEOPHYS J INT</t>
  </si>
  <si>
    <t>Geophys. J. Int.</t>
  </si>
  <si>
    <t>10.1111/j.1365-246X.2004.02156.x</t>
  </si>
  <si>
    <t>815NT</t>
  </si>
  <si>
    <t>WOS:000221049700004</t>
  </si>
  <si>
    <t>Randall, DE; Mac Niocaill, C</t>
  </si>
  <si>
    <t>Cambrian palaeomagnetic data confirm a Natal Embayment location for the Ellsworth-Whitmore Mountains, Antarctica, in Gondwana reconstructions</t>
  </si>
  <si>
    <t>Antarctica; Cambrian; Ellsworth Mountains; Gondwana; palaeogeography; palaeomagnetism</t>
  </si>
  <si>
    <t>PALEO-PACIFIC MARGIN; WEST ANTARCTICA; HERITAGE RANGE; MIDDLE; STRATIGRAPHY; DEFORMATION; EVOLUTION; BASIN; RIFT</t>
  </si>
  <si>
    <t>The Ellsworth-Whitmore Mountains (EWM) are one of five terranes that form West Antarctica. Constraining the positions of these terranes in pre-break up Gondwana is crucial to understanding the history of the palaco-Pacific Gondwana margin. We report the results of a detailed palaeomagnetic investigation of the EWM, which comprises some 150 sites in six formations, ranging in age from Cambrian to Permian. Five of the studied units yield only viscous remnant magnetizations of recent age, or unstable natural remanent magnetizations. The remaining unit, the mid-late Cambrian Frazier Ridge Formation, yielded stable magnetizations at 16 of 35 sites. This component passes a fold test at the 95 per cent confidence level, indicating that it pre-dates Permian deformation, and we argue that it is of primary origin. The resulting palaeopole (9degreesN; 293degreesE; A(95) = 5.1degrees) is in good agreement with two previously published palaeopoles from similarly aged rocks in the EWM. Collectively these data indicate that the EWM were located in the Natal Embayment prior to Gondwana break-up, and underwent 90degrees of anticlockwise rotation during break-up. All three studies, however, yield inclinations that are slightly too shallow when compared with coeval Gondwana reference poles.</t>
  </si>
  <si>
    <t>British Antarctic Survey, Cambridge CB3 0ET, England; Univ Oxford, Dept Earth Sci, Oxford OX1 3PR, England</t>
  </si>
  <si>
    <t>UK Research &amp; Innovation (UKRI); Natural Environment Research Council (NERC); NERC British Antarctic Survey; University of Oxford</t>
  </si>
  <si>
    <t>conallm@earth.ox.ac.uk</t>
  </si>
  <si>
    <t>Niocaill, Conall Mac/B-9834-2009</t>
  </si>
  <si>
    <t>Niocaill, Conall Mac/0000-0002-3782-0198</t>
  </si>
  <si>
    <t>10.1111/j.1365-246X.2004.02192.x</t>
  </si>
  <si>
    <t>WOS:000221049700009</t>
  </si>
  <si>
    <t>Lilley, FEM; White, A; Heinson, GS; Procko, K</t>
  </si>
  <si>
    <t>Seeking a seafloor magnetic signal from the Antarctic circumpolar current</t>
  </si>
  <si>
    <t>Antarctic; geomagnetism; circumpolar current; motional induction; seafloor magnetometers; Southern ocean</t>
  </si>
  <si>
    <t>OCEAN; MAGNETOMETER; FIELDS</t>
  </si>
  <si>
    <t>Motional electromagnetic induction by ocean currents is a basic phenomenon of geophysics, with application to the monitoring of ocean transport. One of Earth's strongest ocean currents is the Antarctic circumpolar current (ACC). This paper explores the magnetic signals that should be generated by the ACC, and reports an experiment in which a magnetometer recorded natural variations of Earth's magnetic field on the floor of the Southern ocean for some five months in 1996. Magnetometer records from Kingston, Tasmania, and from Macquarie Island give reference information concerning magnetic storms and substorms. The instrument was sited in the region of the major oceanographic subantarctic flux and dynamics experiment (SAFDE), where the ACC passes south of Tasmania, between the major topographic features of the South Tasman rise and the Australia-Antarctica spreading ridge. The SAFDE records give comprehensive control on the actual ocean current flow at the time of the magnetic recording, and allow a magnetic signal to be predicted, in terms of the seafloor conductance. The seafloor conductance for the area is however low, and the amplitude of the predicted signal is low. The seafloor observations confirm that the signal is weak against the effects of ionospheric signals. In future experiments, the choice of sites with thicker seafloor sedimentation would increase the ACC magnetic signal to be observed. The magnetometer measurements have a result relevant for the SAFDE, in confirming that the correction of electric data for seafloor conductance is small. There is also the result for seafloor magnetic observatories for which motional induction effects are unwanted, that such an observatory can operate even under the ACC, and be substantially protected from motional induction effects by low seafloor conductance.</t>
  </si>
  <si>
    <t>Australian Natl Univ, Res Sch Earth Sci, Canberra, ACT 0200, Australia; Flinders Univ S Australia, Sch Chem Phys &amp; Earth Sci, Adelaide, SA 5001, Australia; Univ Adelaide, Sch Earth &amp; Environm Sci, Adelaide, SA 5005, Australia</t>
  </si>
  <si>
    <t>Australian National University; Flinders University South Australia; University of Adelaide</t>
  </si>
  <si>
    <t>Ted.Lilley@anu.edu.au; Antony.White@flinders.edu.au; Graham.Heinson@adelaide.edu.au; Procko@rses.anu.edu.au</t>
  </si>
  <si>
    <t>Heinson, Graham/0000-0001-7106-0789</t>
  </si>
  <si>
    <t>10.1111/j.1365-246X.2004.02174.x</t>
  </si>
  <si>
    <t>WOS:000221049700015</t>
  </si>
  <si>
    <t>Cande, SC; Stock, JM</t>
  </si>
  <si>
    <t>Pacific-Antarctic-Australia motion and the formation of the Macquarie Plate</t>
  </si>
  <si>
    <t>Alpine Fault; diffuse deformation; Hjort Trench; Macquarie Ridge; South Tasman Sea; Southeast Indian Ridge</t>
  </si>
  <si>
    <t>INDIAN-OCEAN; INTRAPLATE DEFORMATION; MAGNETIC-ANOMALIES; LARGE EARTHQUAKES; RIDGE EARTHQUAKE; FRACTURE-ZONES; MOMENT TENSOR; NEW-ZEALAND; MARCH 25; BOUNDARY</t>
  </si>
  <si>
    <t>Magnetic anomaly and fracture zone data on the Southeast Indian Ridge (SEIR) are analysed in order to constrain the kinematic history of the Macquarie Plate, the region of the Australian Plate roughly east of 145 degreesE and south of 52 degreesS. Finite rotations for Australia-Antarctic motion are determined for nine chrons (2Ay, 3Ay, 5o, 6o, 8o, 10o, 12o, 13o and 17o) using data limited to the region between 88 degreesE and 139 degreesE. These rotations are used to generate synthetic flowlines which are compared with the observed trends of the easternmost fracture zones on the SEIR. An analysis of the synthetic flowlines shows that the Macquarie Plate region has behaved as an independent rigid plate for roughly the last 6 Myr. Finite rotations for Macquarie-Antarctic motion are determined for chrons 2Ay and 3Ay. These rotations are summed with Australia-Antarctic rotations to determine Macquarie-Australia rotations. We find that the best-fit Macquarie-Australia rotation poles lie within the zone of diffuse intraplate seismicity in the South Tasman Sea separating the Macquarie Plate from the main part of the Australian Plate. Motion of the Macquarie Plate relative to the Pacific Plate for chrons 2Ay and 3Ay is determined by summing Macquarie-Antarctic and Antarctic-Pacific rotations. The Pacific-Macquarie rotations predict a smaller rate of convergence perpendicular to the Hjort Trench than the Pacific-Australia rotations. The onset of the deformation of the South Tasman Sea and the development of the Macquarie Plate appears to have been triggered by the subduction of young, buoyant oceanic crust near the Hjort Trench and coincided with a clockwise change in Pacific-Australia motion around 6 Ma. The revised Pacific-Australia rotations also have implications for the tectonics of the Alpine Fault Zone of New Zealand. We find that changes in relative displacement along the Alpine Fault have been small over the last 20 Myr. The average rate of convergence over the last 6 Myr is about 40 per cent smaller than in previous models.</t>
  </si>
  <si>
    <t>Univ Calif San Diego, Scripps Inst Oceanog, La Jolla, CA 92093 USA; CALTECH, Pasadena, CA 91125 USA</t>
  </si>
  <si>
    <t>University of California System; University of California San Diego; Scripps Institution of Oceanography; California Institute of Technology</t>
  </si>
  <si>
    <t>Cande, SC (corresponding author), Univ Calif San Diego, Scripps Inst Oceanog, Mail Code 0220, La Jolla, CA 92093 USA.</t>
  </si>
  <si>
    <t>scande@ucsd.edu; jstock@seismo.gps.caltech.edu</t>
  </si>
  <si>
    <t>Stock, Joann Miriam/AAN-1526-2021</t>
  </si>
  <si>
    <t>Stock, Joann Miriam/0000-0003-4816-7865</t>
  </si>
  <si>
    <t>10.1111/j.1365-246X.2004.02224.x</t>
  </si>
  <si>
    <t>Green Submitted, Bronze, Green Accepted</t>
  </si>
  <si>
    <t>WOS:000221049700033</t>
  </si>
  <si>
    <t>Life of the Bellingshausen plate</t>
  </si>
  <si>
    <t>MARIE-BYRD LAND; TECTONIC DEVELOPMENT; SATELLITE ALTIMETRY; SOUTHWEST PACIFIC; FRACTURE-ZONE; ANTARCTICA; RECONSTRUCTIONS; MOTION; MARGIN; SEA</t>
  </si>
  <si>
    <t>The onset of independent Bellingshausen plate movement in the South Pacific is estimated at just after chron C33o. This event closely follows a change in the offset sense on the transform arm of the Late Cretaceous Pacific-Phoenix-Antarctic triple junction and accompanies the creation and/or lengthening, by different mechanisms, of long-offsets on the Pacific-Antarctic ridge at the Udintsev, Tharp, Heezen and V transforms, as the triple junction stepped away from the ridge. At around chron C27, the Bellingshausen plate ceased to move independently and the Pacific-Antarctic ridge inherited the set of long offset transforms. Shortly afterwards, the gravity fabric on the flanks of much of the ridge displays evidence for a spreading rate decrease possibly related to transpression on the long-offset transforms. We speculate on a link between these events and regional tectonic changes around chron C27.</t>
  </si>
  <si>
    <t>Eagles, G (corresponding author), Alfred Wegener Inst Polar &amp; Marine Res, Postfach 120161, D-27515 Bremerhaven, Germany.</t>
  </si>
  <si>
    <t>geagles@awi-bremerhaven.de; kgohl@awi-bremerhaven.de; r.larter@bas.ac.uk</t>
  </si>
  <si>
    <t>Gohl, Karsten/0000-0002-9558-2116; Eagles, Graeme/0000-0001-5325-0810; Larter, Robert/0000-0002-8414-7389</t>
  </si>
  <si>
    <t>L07603</t>
  </si>
  <si>
    <t>10.1029/2003GL019127</t>
  </si>
  <si>
    <t>811AB</t>
  </si>
  <si>
    <t>WOS:000220743700002</t>
  </si>
  <si>
    <t>Chaudhuri, AK; Deb, GK</t>
  </si>
  <si>
    <t>Proterozoic rifting in the Pranhita-Godavari Valley: Implication on India-Antarctica linkage</t>
  </si>
  <si>
    <t>GONDWANA RESEARCH</t>
  </si>
  <si>
    <t>Conference on Basin Development and Evolution in Relation to Rodinia, Gondwana and Asia Tectonics</t>
  </si>
  <si>
    <t>OCT 26-30, 2001</t>
  </si>
  <si>
    <t>Okaka, JAPAN</t>
  </si>
  <si>
    <t>Pranhita-Godavari Valley; Godavari Supergroup; cratonic rift; Indo-Antarctic ocean; basin inversion</t>
  </si>
  <si>
    <t>SOUTH-INDIA; ANDHRA-PRADESH; PENGANGA GROUP; MESOPROTEROZOIC BASIN; MANTLE CONVECTION; BELT; STRATIGRAPHY; DEFORMATION; PROVINCE; SYSTEMATICS</t>
  </si>
  <si>
    <t>The Pranhita-Godavari (PG) Valley, a major lineament within the South Indian cratonic province, that preserves sediment dominated deposits spanning from Mesoproterozoic to Mesozoic, appears to be a key element in supercontinent reconstruction. The sedimentary basins of the Valley include a thick succession of Early Mesoproterozoic to Late Neoproterozoic rocks, the Godavari Supergroup, which is unconformably overlain by the Late Palaeozoic-Mesozoic Gondwana sequence. The Godavari Supergroup is internally punctuated by several regional and interregional unconformities into a number of unconformity-bound sequences having group level and subgroup level status. The lithostratigraphic attributes of the succession indicate multiple events of fault controlled sedimentation marked by transgression and regression, as well as uneven rates of uplift and subsidence of the basin floor in an extensional tectonic regime. The amplitude of translation of the unconformity surfaces across the base level attests to collective role of tectonic movement and sea level changes in building the stratigraphic framework of the Valley. The stratigraphic framework and depositional systems, such as fan and fan-deltas, together with local outburst of felsic volcanism further indicate repeated rifting of the craton. Geochronologic data indicate that the rift basin started to open in Early Mesoproterozoic, concomitantly with the breakup of the Mesoproterozoic supercontinent during which the India and East Gondwana fragments were separated. The spatial variation in the declivity of the unconformity surfaces, and the trend of thickness variation of the unconformity-bound sequences point that the basin deepened and opened towards southeast to join an ocean that developed between the South Indian craton and East Antarctica. The contractional deformation structures preserved in several lithounits were produced under NE-SW directed regional compression during Late Neoproterozoic basin inversion.</t>
  </si>
  <si>
    <t>Indian Stat Inst, Geol Studies Unit, Kolkata 700108, W Bengal, India</t>
  </si>
  <si>
    <t>Indian Statistical Institute; Indian Statistical Institute Kolkata</t>
  </si>
  <si>
    <t>Chaudhuri, AK (corresponding author), Indian Stat Inst, Geol Studies Unit, 203,BT Rd, Kolkata 700108, W Bengal, India.</t>
  </si>
  <si>
    <t>asru@isical.ac.in</t>
  </si>
  <si>
    <t>1342-937X</t>
  </si>
  <si>
    <t>1878-0571</t>
  </si>
  <si>
    <t>GONDWANA RES</t>
  </si>
  <si>
    <t>Gondwana Res.</t>
  </si>
  <si>
    <t>10.1016/S1342-937X(05)70785-1</t>
  </si>
  <si>
    <t>811SY</t>
  </si>
  <si>
    <t>WOS:000220792800002</t>
  </si>
  <si>
    <t>Lisker, F</t>
  </si>
  <si>
    <t>The evolution of the geothermal gradient from Lambert Graben and Mahanadi Basin - A contribution to the Indo-Antarctic rift debate</t>
  </si>
  <si>
    <t>apatite fission track; paleo-geothermal gradient; Gondwana; Antarctica; India</t>
  </si>
  <si>
    <t>PRINCE-CHARLES-MOUNTAINS; FISSION-TRACK ANALYSIS; EASTERN GHATS BELT; PENINSULAR INDIA; CRUSTAL STRUCTURE; THERMAL HISTORY; GONDWANA; APATITE; INTERRELATIONSHIP; TOPOGRAPHY</t>
  </si>
  <si>
    <t>The East Antarctic Lambert Graben and the Indian Mahanadi Basin are considered to represent segments of an intra-Gondwanan rift structure that was active at least since the Paleozoic. Fission track analyses of apatites from a comprehensive data set across the shoulders of both grabens were used to compare their low temperature history, and to estimate the paleo-geothermal gradients before the onset of the last denudation/rifting stage (Late Jurassic). The paleo-geothermal gradients of both juxtaposed Gondwana margins similarly increase from the basement towards the respective rift shoulder from 15-20degreesCkm(-1) to 25-30degreesCkm(-1). This trend of increasing paleo-geothermal gradients, together with a denudation episode commencing in the Early Cretaceous and coeval igneous activity, indicates a common rifting stage accompanying the breakup of Gondwana in the India-Antarctica sector.</t>
  </si>
  <si>
    <t>Univ Bremen, Fachbereich Geowissenschaften, D-28334 Bremen, Germany</t>
  </si>
  <si>
    <t>Lisker, F (corresponding author), Univ Bremen, Fachbereich Geowissenschaften, PF 330440, D-28334 Bremen, Germany.</t>
  </si>
  <si>
    <t>flisker@uni-bremen.de</t>
  </si>
  <si>
    <t>Lisker, Frank/0000-0002-1615-7315</t>
  </si>
  <si>
    <t>INT ASSOC GONDWANA RESEARCH</t>
  </si>
  <si>
    <t>KOCHI</t>
  </si>
  <si>
    <t>KOCHI UNIV, FACULTY SCIENCE AKEBONO-CHO 2-5-1, KOCHI, 780-8520, JAPAN</t>
  </si>
  <si>
    <t>10.1016/S1342-937X(05)70790-5</t>
  </si>
  <si>
    <t>WOS:000220792800007</t>
  </si>
  <si>
    <t>Fielding, S; Griffiths, G; Roe, HSJ</t>
  </si>
  <si>
    <t>The biological validation of ADCP acoustic backscatter through direct comparison with net samples and model predictions based on acoustic-scattering models</t>
  </si>
  <si>
    <t>acoustic models; Arabian sea; bioacoustics; Doppler sonar; MVBS; Northwest Indian Ocean; sound scattering; zooplankton</t>
  </si>
  <si>
    <t>DOPPLER CURRENT PROFILER; ZOOPLANKTON DISPLACEMENT VOLUME; SOUND-SCATTERING; ANTARCTIC KRILL; WET WEIGHT; DRY-WEIGHT; DISTRIBUTIONS; ABUNDANCE; STRENGTH; BIOMASS</t>
  </si>
  <si>
    <t>Mean volume-backscattering strength (MVBS) data collected using a 153-kHz, narrowband Acoustic Doppler Current Profiler (ADCP) were compared with zooplankton abundance and biovolume data collected using a Longhurst-Hardy Plankton Recorder (LHPR). A direct comparison showed that there was a linear relationship between MVBS and log-transformed zooplankton dry weight. This linear relationship, determined from a mixed zooplankton-species population, was then compared with that reported in previous work from a region dominated by a single species of copepod and found to be significantly different. The scatter around the linear relationships determined between MVBS and log-transformed dry weights in regions of complex, mixed zooplankton populations results in our inability to distinguish different relationships that could be expected from different populations in varying oceanic regions. It is suggested that, without further manipulation of the data, ADCP MVBS cannot be used to determine quantitative estimates of zooplankton abundance and biomass in mixed populations. Observed MVBS was compared with model-predicted backscattering, calculated using acoustic models and abundance and size measurements of zooplankton from net samples. The results show that at high backscattering intensities (&gt;-80 dB) the observed MVBS from an ADCP was generally consistent with the model predictions. Abundance, biovolume, and model-predicted backscattering contributions of six significant acoustic-scattering groups (amphipods, chaetognaths, copepods, euphausiids, fish, and pteropods) are shown to vary disproportionately. In particular, a rare and small but strong acoustic scatterer such as a pteropod can contribute as little as 0.1% to the total sample abundance and 0.1% to the biovolume but represent 69.5% of the total model-predicted backscattering. Model, instrumental, and methodological artefacts are identified as potential sources of inconsistencies between the observed and model-predicted backscattering. These include the effect of the orientation of zooplankton, inadequate knowledge of model parameters such as the sound-speed and density contrasts, the mismatch between sampling volumes of the net and acoustic instrument, and net avoidance by the more mobile scatterers. (C) 2004 International Council for the Exploration of the Sea. Published by Elsevier Ltd. All rights reserved.</t>
  </si>
  <si>
    <t>Southampton Oceanog Ctr, Southampton SO14 3ZH, Hants, England</t>
  </si>
  <si>
    <t>University of Southampton; NERC National Oceanography Centre</t>
  </si>
  <si>
    <t>Southampton Oceanog Ctr, European Way, Southampton SO14 3ZH, Hants, England.</t>
  </si>
  <si>
    <t>sof@soc.soton.ac.uk</t>
  </si>
  <si>
    <t>Fielding, Sophie/E-5137-2012</t>
  </si>
  <si>
    <t>10.1016/j.icesjms.2003.10.011</t>
  </si>
  <si>
    <t>806GL</t>
  </si>
  <si>
    <t>WOS:000220422300004</t>
  </si>
  <si>
    <t>Rauthe, M; Hense, A; Paeth, H</t>
  </si>
  <si>
    <t>A model intercomparison study of climate change-signals in extratropical circulation</t>
  </si>
  <si>
    <t>Arctic oscillation; North Atlantic oscillation; Aleutian low; Antarctic oscillation; climate change; model intercomparison</t>
  </si>
  <si>
    <t>NORTH-ATLANTIC OSCILLATION; HEMISPHERE ATMOSPHERIC CIRCULATION; GREENHOUSE-GAS; GEOPOTENTIAL HEIGHT; ARCTIC OSCILLATION; COUPLED MODEL; PART II; VARIABILITY; SIMULATION; TRENDS</t>
  </si>
  <si>
    <t>Since 1970, the observed time series of various extratropical circulation modes have revealed remarkable trends. In many studies it has been suggested that these trends may be related to global warming due to increasing greenhouse gas (GHG) concentrations. Coupled climate model scenario experiments may give a hint of such a relationship. Here, a large model intercomparison study is presented, incorporating most state-of-the-art models of the international modeller community with GHG and GHG plus sulphate aerosol (SUL) forcing, in order to quantify the signals common to different climate models and to determine the degree of uncertainty. The extratropical circulation candidates are the Arctic oscillation (AO), the North Atlantic oscillation (NAO), the Aleutian low (AL) and the Antarctic oscillation (AAO). Most climate models agree in predicting positive AO and AAO trends into the 21st century, these being different from the respective results of long-term control experiments. The NAO appears to be less sensitive to radiative forcing, with slightly positive and negative trends occurring in different models. The AL tends to strengthen in several models with GHG + SUL forcing. Projecting the spatial structure of the circulation modes onto the trend patterns of mean sea-level pressure (SLP) indicates that, in particular, the AO and AAO contribute considerably to the simulated long-term trends in SLP. Intermodel variations in Northern Hemisphere SLP trends become predominantly apparent over the mountainous regions and the North Pacific. In the Southern Hemisphere, the Antarctic region is subject to large model uncertainties. The multi-decadal trends of all circulation modes except the NAO are statistically significant in the majority of the climate-change experiments. At the interannual time scale, external radiative forcing does account for a small but statistically significant part of total multi-model variability, but this part is of the same order of magnitude as the systematic differences between the models. At decadal time scales, the external impact clearly stands out from the other sources of variability. Present-day climate models mostly agree in predicting a strengthening of the annular modes AO and AAO. As all models generally project a deepening of SLP over the polar caps, time series indicative of these regions might be a more appropriate measure of the sensitivity of extratropical circulation. Copyright (C) 2004 Royal Meteorological Society.</t>
  </si>
  <si>
    <t>Univ Bonn, Inst Meteorol, D-53121 Bonn, Germany; Leibniz Inst Atmospharenphys, Kuhlungsborn, Germany</t>
  </si>
  <si>
    <t>University of Bonn; Leibniz Institut fur Atmospharenphysik e.V. an der Universitat Rostock (IAP)</t>
  </si>
  <si>
    <t>Univ Bonn, Inst Meteorol, D-53121 Bonn, Germany.</t>
  </si>
  <si>
    <t>hpaeth@uni-bonn.de</t>
  </si>
  <si>
    <t>Hense, Andreas/0000-0002-9251-146X</t>
  </si>
  <si>
    <t>10.1002/joc.1025</t>
  </si>
  <si>
    <t>815ST</t>
  </si>
  <si>
    <t>WOS:000221062700008</t>
  </si>
  <si>
    <t>Kiss, AJ; Mirarefri, AY; Ramakrishnan, S; Zukoski, CF; Cheng, CHC; DeVries, AL</t>
  </si>
  <si>
    <t>Characterisation of the eye lens crystallins from the Antarctic toothfish, Dissostichus mawsoni</t>
  </si>
  <si>
    <t>INVESTIGATIVE OPHTHALMOLOGY &amp; VISUAL SCIENCE</t>
  </si>
  <si>
    <t>Annual Meeting of the Association-for-Research-in-Vision-and-Ophthalmology</t>
  </si>
  <si>
    <t>APR 24-29, 2004</t>
  </si>
  <si>
    <t>Ft Lauderdale, FL</t>
  </si>
  <si>
    <t>Univ Illinois, Ctr Biophys &amp; Computat Biol, Urbana, IL 61801 USA</t>
  </si>
  <si>
    <t>University of Illinois System; University of Illinois Urbana-Champaign</t>
  </si>
  <si>
    <t>ASSOC RESEARCH VISION OPHTHALMOLOGY INC</t>
  </si>
  <si>
    <t>ROCKVILLE</t>
  </si>
  <si>
    <t>12300 TWINBROOK PARKWAY, ROCKVILLE, MD 20852-1606 USA</t>
  </si>
  <si>
    <t>0146-0404</t>
  </si>
  <si>
    <t>INVEST OPHTH VIS SCI</t>
  </si>
  <si>
    <t>Invest. Ophthalmol. Vis. Sci.</t>
  </si>
  <si>
    <t>U344</t>
  </si>
  <si>
    <t>Ophthalmology</t>
  </si>
  <si>
    <t>846TC</t>
  </si>
  <si>
    <t>WOS:000223338201163</t>
  </si>
  <si>
    <t>Shepherd, MG; Rochon, YJ; Offermann, D; Donner, M; Espy, PJ</t>
  </si>
  <si>
    <t>Longitudinal variability of mesospheric temperatures during equinox at middle and high latitudes</t>
  </si>
  <si>
    <t>International Symposium on the Dynamics and Chemistry of the MLT Region</t>
  </si>
  <si>
    <t>OCT 04-08, 2002</t>
  </si>
  <si>
    <t>Foz do Iguacu, BRAZIL</t>
  </si>
  <si>
    <t>temperatures; equinox transition; dynamics; mesosphere; satellite/ground-based comparisons</t>
  </si>
  <si>
    <t>WIND IMAGING INTERFEROMETER; NONMIGRATING DIURNAL TIDES; LATENT-HEAT RELEASE; METEOR DECAY TIMES; PLANETARY-WAVES; SPRINGTIME TRANSITION; NORTHERN-HEMISPHERE; LIDAR OBSERVATIONS; MESOPAUSE; MODEL</t>
  </si>
  <si>
    <t>Airglow emission and temperature observations by the wind imaging interferometer (WINDII) on the upper atmosphere research satellite (UARS) and ground-based stations revealed a rapid 2-day rise in the nighttime emission rate in springtime followed by a subsequent decrease in the magnitude, which was termed 'springtime transition'. A rapid temperature enhancement was also revealed in the average annual temperature at 87 kin height, employing observations from 1991 to 1997 and more recent temperature data from 1998 to 1999. Large amplitude perturbations in mesospheric Na-lidar and OH rotational temperatures at 87 km around the autumnal equinox at mid-latitudes were also reported. Recently it has been suggested that the observed fall perturbation is a signature of mesospheric planetary waves of zonal wavenumber 1 (hereafter a wave 1) in the Northern hemisphere. The current study extends earlier work on mesospheric temperatures from the WINDII/UARS experiment and complementary ground-based observations to examine global spatial and temporal characteristics of the equinox transition at 87 km height. A 7-year climatology at middle and high latitudes, 40-60degreesN is presented revealing a V-shaped signature of temperature decrease with amplitude of similar to25 K below the annual mean and a duration of 3-4 weeks depending on the year, following fall equinox (Day 257-284). Satellite and ground-based temperature observations were successfully combined to infer tidal information, a key to the interpretation of the results obtained. After accounting for the diurnal tidal perturbation a distinct planetary wave structure was revealed at latitudes from 45degreesN to 65degreesN. Longitudinal temperature variations show a drop at 140-180degreesE on Day 264 at 50degreesN which extends to at least 60degreesN accompanied by wave signatures. Spectral analysis indicated planetary waves with waves 1 and 2 planetary perturbations maximizing on Day 263-265 (September 20-22). Various waveforms were also identified (waves 3-6) from which a waveform with a wavenumber 4 appeared to be the third most persistent wave signature during the period with a period of about 4 days. The spectral analysis also revealed a depressed planetary wave activity following fall equinox. It is concluded that the observed temperature perturbation is the likely result of in situ generated gravity waves at 87 km superposed on the planetary wave 1 propagating upwards from below enhanced by the reversal of zonal mean wind flow at equinox. (C) 2004 Elsevier Ltd. All rights reserved.</t>
  </si>
  <si>
    <t>York Univ, Ctr Res Earth &amp; Space Sci, N York, ON M3J 1P3, Canada; Meteorol Serv Canada, Toronto, ON, Canada; Berg Univ Gesamthsch Wuppertal, Fachbereich Phys, Wuppertal, Germany; British Antarctic Survey, Div Phys Sci, Cambridge CB3 0ET, England</t>
  </si>
  <si>
    <t>York University - Canada; Environment &amp; Climate Change Canada; Meteorological Service of Canada; University of Wuppertal; UK Research &amp; Innovation (UKRI); Natural Environment Research Council (NERC); NERC British Antarctic Survey</t>
  </si>
  <si>
    <t>York Univ, Ctr Res Earth &amp; Space Sci, 4700 Keele St, N York, ON M3J 1P3, Canada.</t>
  </si>
  <si>
    <t>marianna@stpl.cress.yorku.ca</t>
  </si>
  <si>
    <t>Shepherd, Marianna/0000-0003-2731-8513</t>
  </si>
  <si>
    <t>6-9</t>
  </si>
  <si>
    <t>10.1016/j.jastp.2004.01.036</t>
  </si>
  <si>
    <t>824WC</t>
  </si>
  <si>
    <t>WOS:000221716900005</t>
  </si>
  <si>
    <t>French, WJR; Burns, GB</t>
  </si>
  <si>
    <t>The influence of large-scale oscillations on long-term trend assessment in hydroxyl temperatures over Davis, Antarctica</t>
  </si>
  <si>
    <t>hydroxyl airglow; mesospheric temperature trends; atmospheric dynamics; planetary waves</t>
  </si>
  <si>
    <t>OH ROTATIONAL TEMPERATURES; MIDDLE ATMOSPHERE; MESOPAUSE REGION; SEASONAL-VARIATIONS; MESOSPHERIC TEMPERATURE; MIDLATITUDE; VARIABILITY; STATION; CYCLE; EMISSION</t>
  </si>
  <si>
    <t>Large-scale temperature oscillations are observed in 7 years ( 1995-2001) of night-time hydroxyl (6-2) band rotational temperatures, measured with a scanning spectrometer over Davis station, Antarctica (68.6degreesS, 78.0degreesE). Variations of up to 30 K are evident in the 1439 nightly averages calculated, in quasi-periodic 10-60 day intervals with no apparent seasonal consistency year-to-year. We investigate the impact of this seasonal variability in large-scale temperature oscillations on long-term trend assessments. Lomb-Scargle periodogram analysis reveals that large-scale (quasi-periods 50-60 day) oscillations dominate March-April and July-October but activity generally decreases around midwinter (mid-May to late-June) when shorter-period smaller-magnitude oscillations are more characteristic. This is consistent with reduced stationary wave penetration into the upper mesosphere due to strong middle atmosphere eastward winds in the southern midwinter. A sliding-window multivariate fit with solar cycle and long-term linear trend terms shows most consistent coefficients of 0.06-0.07 K/solar flux unit (similar to8 K per solar cycle) and -0.5--1.5 K/year for the 70 day windows centred between days 160 and 220 (across midwinter) each year when large-scale oscillations are minimal. Large uncertainties in the trend coefficients over the equinox intervals are obtained and we cannot determine if trends at these times are significantly different from zero. Enhanced cooling in the southern hemisphere upper-mesosphere may be linked with a trend toward stronger eastward flow in the southern high latitude polar vortex (due largely to the trend in photochemical ozone losses), reducing the penetration of waves into the southern winter mesosphere. Crown Copyright (C) 2004 Published by Elsevier Ltd. All rights reserved.</t>
  </si>
  <si>
    <t>Australian Antarctic Div, Kingston, Tas, Australia</t>
  </si>
  <si>
    <t>French, WJR (corresponding author), Australian Antarctic Div, Kingston, Tas, Australia.</t>
  </si>
  <si>
    <t>john.french@aad.gov.au; gary.burns@aad.gov.au</t>
  </si>
  <si>
    <t>French, John/0000-0001-9305-6190</t>
  </si>
  <si>
    <t>10.1016/j.jastp.2004.01.027</t>
  </si>
  <si>
    <t>WOS:000221716900007</t>
  </si>
  <si>
    <t>Singer, W; Bremer, J; Weiss, J; Hocking, WK; Höffner, J; Donner, M; Espy, P</t>
  </si>
  <si>
    <t>Meteor radar observations at middle and Arctic latitudes -: Part 1:: mean temperatures</t>
  </si>
  <si>
    <t>meteor radar; mesosphere; temperature; seasonal variation</t>
  </si>
  <si>
    <t>ATMOSPHERE TEMPERATURES; LIDAR OBSERVATIONS; THERMAL STRUCTURE; DECAY TIMES; MESOPAUSE; MESOSPHERE; DIFFUSION; TRAINS; SUMMER</t>
  </si>
  <si>
    <t>Observations with a Meteor radar operating at 32.55 MHz have been used to derive daily atmospheric temperature data for an altitude of 90 km at mid-latitudes during November 1999 until August 2001, and at high latitudes during September 2001 until December 2002. The neutral air temperatures are derived from determination of the ambipolar diffusion coefficient variation as a function of height, and are then corrected by application of a temperature-gradient model. The seasonal variations at both latitudes are characterized by high temperatures in winter and markedly smaller ones during summer. Whereas the winter temperatures at high latitudes are slightly warmer than at mid-latitudes by about 10 K, during summer the temperatures at high latitudes are colder by up to about 40 K. The majority of the variation in temperatures measured by this technique is due to variations in the ambipolar diffusion coefficient, but the accuracy of the temperature gradient model is important for second-order corrections. The meteor technique is valuable toot to study the short time temperature variability. The temperature data derived in this manner are in reasonable agreement with independent experimental results from different rocket, satellite and ground-based measurements, as well as with theoretical results obtained from calculations with the global circulation model COMMA-IAP. (C) 2004 Elsevier Ltd. All rights reserved.</t>
  </si>
  <si>
    <t>Leibniz Inst Atmospher Phys, D-18225 Kuhlungsborn, Germany; Univ Western Ontario, Dept Phys &amp; Astron, London, ON N6A 3K7, Canada; Univ Gesamthsch Wuppertal, D-42119 Wuppertal, Germany; British Antarctic Survey, Div Phys Sci, Cambridge CB3 0ET, England</t>
  </si>
  <si>
    <t>Leibniz Institut fur Atmospharenphysik e.V. an der Universitat Rostock (IAP); Western University (University of Western Ontario); University of Wuppertal; UK Research &amp; Innovation (UKRI); Natural Environment Research Council (NERC); NERC British Antarctic Survey</t>
  </si>
  <si>
    <t>Singer, W (corresponding author), Leibniz Inst Atmospher Phys, Schloss Str 6, D-18225 Kuhlungsborn, Germany.</t>
  </si>
  <si>
    <t>singer@iap-kborn.de</t>
  </si>
  <si>
    <t>10.1016/j.jastp.2004.01.012</t>
  </si>
  <si>
    <t>WOS:000221716900016</t>
  </si>
  <si>
    <t>Hall, A</t>
  </si>
  <si>
    <t>The role of surface albedo feedback in climate</t>
  </si>
  <si>
    <t>WATER-VAPOR FEEDBACK; ANTARCTIC SEA-ICE; SNOW COVER; COUPLED MODEL; OCEAN CIRCULATION; ATMOSPHERE; SENSITIVITY; CYCLE; CO2</t>
  </si>
  <si>
    <t>A coarse resolution coupled ocean - atmosphere simulation in which surface albedo feedback is suppressed by prescribing surface albedo, is compared to one where snow and sea ice anomalies are allowed to affect surface albedo. Canonical CO2-doubling experiments were performed with both models to assess the impact of this feedback on equilibrium response to external forcing. It accounts for about half the high-latitude response to the forcing. Both models were also run for 1000 yr without forcing to assess the impact of surface albedo feedback on internal variability. Surprisingly little internal variability can be attributed to this feedback, except in the Northern Hemisphere continents during spring and in the sea ice zone of the Southern Hemisphere year-round. At these locations and during these seasons, it accounts for, at most, 20% of the variability. The main reason for this relatively weak signal is that horizontal damping processes dilute the impact of surface albedo feedback. When snow albedo feedback in Northern Hemisphere continents is isolated from horizontal damping processes, it has a similar strength in the CO2-doubling and internal variability contexts; a given temperature anomaly in these regions is associated with approximately the same change in snow depth and surface albedo whether it was externally forced or internally generated. This suggests that the presence of internal variability in the observed record is not a barrier to extracting information about snow albedo feedback's contribution to equilibrium climate sensitivity. This is demonstrated in principle in a scenario run,'' where estimates of past, present, and future changes in greenhouse gases and sulfate aerosols are imposed on the model with surface albedo feedback. This simulation contains a mix of internal variations and externally forced anomalies similar to the observed record. The snow albedo feedback to the scenario run's climate anomalies agrees very well with the snow albedo feedback in the CO2-doubling context. Moreover, the portion of the scenario run corresponding to the present-day satellite record is long enough to capture this feedback, suggesting this record could be used to estimate snow albedo feedback's contribution to equilibrium climate sensitivity.</t>
  </si>
  <si>
    <t>Univ Calif Los Angeles, Dept Atmospher Sci, Los Angeles, CA 90095 USA</t>
  </si>
  <si>
    <t>Hall, A (corresponding author), Univ Calif Los Angeles, Dept Atmospher Sci, Box 951565, Los Angeles, CA 90095 USA.</t>
  </si>
  <si>
    <t>alexhall@atmos.ucla.edu</t>
  </si>
  <si>
    <t>Hall, Alex/D-8175-2014</t>
  </si>
  <si>
    <t>10.1175/1520-0442(2004)017&lt;1550:TROSAF&gt;2.0.CO;2</t>
  </si>
  <si>
    <t>809AN</t>
  </si>
  <si>
    <t>WOS:000220609700009</t>
  </si>
  <si>
    <t>Schneider, DP; Steig, EJ; Comiso, JC</t>
  </si>
  <si>
    <t>Recent climate variability in Antarctica from satellite-derived temperature data</t>
  </si>
  <si>
    <t>LOW-FREQUENCY VARIABILITY; SEA-SURFACE TEMPERATURE; NCEP-NCAR REANALYSIS; SOUTHERN-HEMISPHERE; SEMIANNUAL OSCILLATION; EAST ANTARCTICA; MODES; CIRCULATION; TRENDS; ENSO</t>
  </si>
  <si>
    <t>Recent Antarctic climate variability on month-to-month to interannual time scales is assessed through joint analysis of surface temperatures from satellite thermal infrared observations (T-IR) and passive microwave brightness temperatures (T-B). Although T-IR data are limited to clear-sky conditions and T-B data are a product of the temperature and emissivity of the upper; 1 m of snow, the two datasets share significant covariance. This covariance is largely explained by three empirical modes, which illustrate the spatial and temporal variability of Antarctic surface temperatures. The T-B variations are damped compared to T-IR variations, as determined by the period of the temperature forcing and the microwave emission depth; however, microwave emissivity does not vary significantly in time. Comparison of the temperature modes with Southern Hemisphere (SH) 500-hPa geopotential height anomalies demonstrates that Antarctic temperature anomalies are predominantly controlled by the principal patterns of SH atmospheric circulation. The leading surface temperature mode strongly correlates with the Southern Annular Mode (SAM) in geopotential height. The second temperature mode reflects the combined influences of the zonal wavenumber-3 and Pacific - South American (PSA) patterns in 500-hPa height on month-to-month time scales. ENSO variability projects onto this mode on interannual time scales, but is not by itself a good predictor of Antarctic temperature anomalies. The third temperature mode explains winter warming trends, which may be caused by blocking events, over a large region of the East Antarctic plateau. These results help to place recent climate changes in the context of Antarctica's background climate variability and will aid in the interpretation of ice core paleoclimate records.</t>
  </si>
  <si>
    <t>Univ Washington, Dept Earth &amp; Space Sci, Seattle, WA 98195 USA; NASA, Goddard Space Flight Ctr, Lab Hydrospher Proc, Greenbelt, MD 20771 USA</t>
  </si>
  <si>
    <t>University of Washington; University of Washington Seattle; National Aeronautics &amp; Space Administration (NASA); NASA Goddard Space Flight Center</t>
  </si>
  <si>
    <t>Univ Washington, Dept Earth &amp; Space Sci, Box 351310, Seattle, WA 98195 USA.</t>
  </si>
  <si>
    <t>schneidd@u.washington.edu</t>
  </si>
  <si>
    <t>Schneider, David/E-2726-2010; /G-9088-2015</t>
  </si>
  <si>
    <t>Schneider, David/0000-0001-5308-1834; /0000-0002-8191-5549</t>
  </si>
  <si>
    <t>10.1175/1520-0442(2004)017&lt;1569:RCVIAF&gt;2.0.CO;2</t>
  </si>
  <si>
    <t>WOS:000220609700010</t>
  </si>
  <si>
    <t>Burger, AG</t>
  </si>
  <si>
    <t>Editorial: Environment and thyroid function</t>
  </si>
  <si>
    <t>JOURNAL OF CLINICAL ENDOCRINOLOGY &amp; METABOLISM</t>
  </si>
  <si>
    <t>PROLONGED ANTARCTIC RESIDENCE; UNCOUPLING PROTEIN-3; SEASONAL-VARIATION; SERUM THYROTROPIN; THYROXINE; HORMONE; TRIIODOTHYRONINE; RESPONSES; PITUITARY; COLD</t>
  </si>
  <si>
    <t>Univ Geneva, Fac Med, CH-1211 Geneva, Switzerland</t>
  </si>
  <si>
    <t>University of Geneva</t>
  </si>
  <si>
    <t>Burger, AG (corresponding author), 9D Plateau Frontenex, CH-1223 Cologny, Switzerland.</t>
  </si>
  <si>
    <t>agburger@bluewin.ch</t>
  </si>
  <si>
    <t>ENDOCRINE SOC</t>
  </si>
  <si>
    <t>2055 L ST NW, SUITE 600, WASHINGTON, DC 20036 USA</t>
  </si>
  <si>
    <t>0021-972X</t>
  </si>
  <si>
    <t>1945-7197</t>
  </si>
  <si>
    <t>J CLIN ENDOCR METAB</t>
  </si>
  <si>
    <t>J. Clin. Endocrinol. Metab.</t>
  </si>
  <si>
    <t>10.1210/jc.2004-0332</t>
  </si>
  <si>
    <t>810OV</t>
  </si>
  <si>
    <t>WOS:000220714500003</t>
  </si>
  <si>
    <t>Van Do, N; Mino, L; Merriam, GR; LeMar, H; Case, HS; Palinkas, LA; Reedy, K; Reed, HL</t>
  </si>
  <si>
    <t>Elevation in serum thyroglobulin during prolonged antarctic residence:: Effect of thyroxine supplement in the polar 3,5,3′-triiodothyronine syndrome</t>
  </si>
  <si>
    <t>83rd Annual Meeting of the Endocrine-Society</t>
  </si>
  <si>
    <t>JUN 20-23, 2001</t>
  </si>
  <si>
    <t>DENVER, CO</t>
  </si>
  <si>
    <t>RECOMBINANT HUMAN THYROTROPIN; THYROID-CARCINOMA; CLINICAL-PRACTICE; PITUITARY; KINETICS</t>
  </si>
  <si>
    <t>Extended Antarctic residence (AR) is associated with an increase in serum TSH, a decrease in free T-4, and an increase in T-3 production and clearance. It is not clear whether these adaptations reflect changes in clearance alone or whether intrinsic thyroidal synthetic activity also changes. Thyroglobulin (Tg) secretion is an independent marker of intrinsic thyroid activity whose kinetics are independent of those of T-3 and T-4. In this study we examined changes in Tg levels in healthy subjects before and during AR and their responses to thyroid supplementation to help determine whether alterations in thyroid activity, and not just kinetics of clearance, underlie the changes seen with the polar T-3 syndrome. In cohort 1, we compared measurements of TSH and Tg in 12 subjects before deployment and monthly for 11 months during AR. In cohort 2, we compared the same measurements in 12 subjects monthly for 11 months of AR. Subjects were randomized to receive either placebo or levothyroxine in cohort 1 for 7 months and in cohort 2 for 11 months. Tg increased over baseline during the first 4 months of AR by 17.0+/-4.6% and after 7 more months by 31.7+/-4.3% over baseline in the placebo group of both cohorts ( P&lt;0.0002). When L-T-4 was taken, Tg returned to a value not different from baseline (4.5 +/- 3.9%). The percent changes from baseline in serum TSH and Tg during AR were highly correlated (P&lt;0.00003) in the placebo group for both cohorts. The rise in Tg with TSH and the reduction in Tg with L-T-4 provide evidence of target tissue response to TSH and further confirm the TSH rise as physiologically significant. The results also suggest that the adaptive changes in thyroid hormone economy with AR reflect TSH-dependent changes in thyroid synthetic activity, which may help explain a portion of the increases in T-3 production found with AR.</t>
  </si>
  <si>
    <t>Madigan Army Med Ctr, Internal Med Serv, Tacoma, WA 98431 USA; New Mexico Resonance, Albuquerque, NM USA; Vet Affairs Puget Sound Hlth Care Syst, Tacoma, WA 98493 USA; Univ Washington, Div Metab Endocrinol &amp; Nutr, Seattle, WA 98195 USA; William Beaumont Army Med Ctr, Endocrine Serv, El Paso, TX 79920 USA; McDaniel Coll, Dept Exercise Sci &amp; Phys Educ, Westminster, MD 21157 USA; Univ Calif San Diego, Dept Family &amp; Prevent Med, La Jolla, CA 92093 USA; US FDA, Rockville, MD 20857 USA; Multicare Med Grp, Tacoma, WA 98415 USA</t>
  </si>
  <si>
    <t>Madigan Army Medical Center; US Department of Veterans Affairs; Veterans Health Administration (VHA); Vet Affairs Puget Sound Health Care System; University of Washington; University of Washington Seattle; William Beaumont Army Medical Center; University of California System; University of California San Diego; US Food &amp; Drug Administration (FDA)</t>
  </si>
  <si>
    <t>Stanford Med Informat, Sch Med, Off Bldg,X-215,251 Campus Dr, Stanford, CA 94305 USA.</t>
  </si>
  <si>
    <t>nhan.do@us.army.mil</t>
  </si>
  <si>
    <t>Do, Nhan/0000-0001-6868-7011</t>
  </si>
  <si>
    <t>10.1210/jc.2003-031747</t>
  </si>
  <si>
    <t>WOS:000220714500004</t>
  </si>
  <si>
    <t>Sparling, CE; Fedak, MA</t>
  </si>
  <si>
    <t>Metabolic rates of captive grey seals during voluntary diving</t>
  </si>
  <si>
    <t>grey seal; Halichoerus grypus; diving metabolic rate; aerobic dive limit; hypometabolism</t>
  </si>
  <si>
    <t>AEROBIC DIVE LIMIT; NORTHERN ELEPHANT SEALS; ANTARCTIC FUR SEALS; BODY OXYGEN STORES; WEDDELL SEALS; HEART-RATE; LEPTONYCHOTES-WEDDELLI; FORAGING ENERGETICS; PHOCA-VITULINA; GAS-EXCHANGE</t>
  </si>
  <si>
    <t>The energetic cost of diving in marine mammals is a difficult value to derive given the problems of assessing metabolic rate for an animal at sea. Nevertheless, it is fundamental to our understanding of the foraging strategies of air-breathers exploiting underwater food sources. We measured the metabolic rates of eight captive grey seals, voluntarily diving in a quasi-natural setting. Oxygen consumption during post-dive surface periods was measured using open-flow respirometry, and dive behaviour of the seals was recorded using time depth recorders (TDRs). Mean diving metabolic rate (DMR) for both adults and juveniles was 1.7 times the predicted standard metabolic rate of terrestrial animals of equal size. For all animals, DMR was lower than the rate of metabolism measured whilst they were resting at the water's surface. On a dive-by-dive basis, DMR decreased with dive duration but increased with mean swim speed. Regressing the maximum 5% of DMRs against dive duration resulted in a significant negative relationship that was not significantly different from the relationship between the calculated maximum rate of aerobic metabolism and dive duration, suggesting that these seals were diving within, and up to, their aerobic limits. We developed a model that allows the prediction of DMR from information on dive behaviour of the type routinely collected in telemetry studies of wild seals. The model accurately predicts DMR using behavioural data from periods of diving with known metabolism data. This model can be used to predict the at-sea metabolic rate of wild grey seals, an important input into ecosystem models.</t>
  </si>
  <si>
    <t>Univ St Andrews, Gatty Marine Lab, Sea Mammal Res Unit, St Andrews KY16 8LB, Fife, Scotland</t>
  </si>
  <si>
    <t>Sparling, CE (corresponding author), Univ St Andrews, Gatty Marine Lab, Sea Mammal Res Unit, St Andrews KY16 8LB, Fife, Scotland.</t>
  </si>
  <si>
    <t>ces6@st-and.ac.uk</t>
  </si>
  <si>
    <t>Fedak, Michael/B-3987-2009</t>
  </si>
  <si>
    <t>Fedak, Michael/0000-0002-9569-1128</t>
  </si>
  <si>
    <t>10.1242/jeb.00952</t>
  </si>
  <si>
    <t>822WK</t>
  </si>
  <si>
    <t>WOS:000221571100008</t>
  </si>
  <si>
    <t>Eastman, JT; Lannoo, MJ</t>
  </si>
  <si>
    <t>Brain and sense organ anatomy and histology in hemoglobinless Antarctic icefishes (Perciformes: Notothenioidei: Channichthyidae)</t>
  </si>
  <si>
    <t>brain histology; retinal histology; cephalic lateral line system; olfactory system; brain and ocular vasculature; hyaloid arteries</t>
  </si>
  <si>
    <t>LATERAL-LINE RECEPTORS; INTRAOCULAR VASCULARIZATION; CHAENOCEPHALUS-ACERATUS; TREMATOMUS-BERNACCHII; PLANKTONIC PREY; OLFACTORY ORGAN; FINE-STRUCTURE; FISH FAUNA; MORPHOLOGY; EVOLUTION</t>
  </si>
  <si>
    <t>The Channichthyidae, one of five Antarctic notothenioid families, includes 16 species and 11 genera. Most live at depths of 200-800 m and are a major component of fish biomass in many shelf areas. Channichthyids are unique among adult fishes in possessing pale white blood containing a few vestigal erythrocytes and no hemoglobin. Here we describe the brains of seven species and special sense organs of eight species of channichthyids. We emphasize Chionodraco hamatus and C. myersi, compare these species to other channichthyids, and relate our findings to what is known about brains and sense organs of red-blooded notothenioids living sympatrically on the Antarctic shelf. Brains of channichthyids generally resemble those of their bathydraconid sister group. Among channichthyids the telencephalon is slightly regressed, resulting in a stalked appearance, but the tectum, corpus cerebellum, and mechanoreceptive areas are well developed. Interspecific variation is present but slight. The most interesting features of channichthyid brains are not in the nervous tissue but in support structures: the vasculature and the subependymal expansions show considerable elaboration. Channichthyids have large accessory nasal sacs and olfactory lamellae are more numerous than in other notothenioids. The eyes are relatively large and laterally oriented with similar duplex (cone and rod) retinae in all eight species. Twin cones are the qualitatively dominant photoreceptor in histological sections and, unlike bathydraconids, there are no species with rod-dominated retinae. Eyes possess the most extensive system of hyaloid arteries known in teleosts. Unlike the radial pattern seen in red-blooded notothenioids and most other teleosts, channichthyid hyaloid arteries arise from four or five main branches and form a closely spaced anastomosing series of parallel channels. Cephalic lateral line canals are membranous and some exhibit extensions (canaliculi), but canals are more ossified than those of deeper-living bathydraconids. We conclude that, with respect to the anatomy and histology of the neural structures, the brain and sensory systems show little that is remarkable compared to other fishes, and exhibit little diversification within the family. Thus, the unusual habitat and a potentially deleterious mutation resulting in a hemoglobinless phenotype are reflected primarily in expansion of the vasculature in the brain and eye partially compensating for the absence of respiratory pigments. Neural morphology gives the impression that channichthyids are a homogeneous and little diversified group. (C) 2004 Wiley-Liss, Inc.</t>
  </si>
  <si>
    <t>Ohio Univ, Coll Osteopath Med, Dept Biomed Sci, Athens, OH 45701 USA; Indiana Univ, Sch Med, Muncie Ctr Med Educ, Muncie, IN 47306 USA</t>
  </si>
  <si>
    <t>University System of Ohio; Ohio University; Indiana University Health; IU Health Ball Memorial Hospital</t>
  </si>
  <si>
    <t>Ohio Univ, Coll Osteopath Med, Dept Biomed Sci, Athens, OH 45701 USA.</t>
  </si>
  <si>
    <t>eastman@ohiou.edu</t>
  </si>
  <si>
    <t>Eastman, Joseph T./O-6150-2019; Eastman, Joseph T/A-9786-2008</t>
  </si>
  <si>
    <t>Eastman, Joseph T./0000-0003-3868-261X;</t>
  </si>
  <si>
    <t>NINDS NIH HHS [NS37600-01] Funding Source: Medline</t>
  </si>
  <si>
    <t>10.1002/jmor.10221</t>
  </si>
  <si>
    <t>808PO</t>
  </si>
  <si>
    <t>WOS:000220581200010</t>
  </si>
  <si>
    <t>Lee, HS; Ahn, JW; Lee, YH; Rho, JR; Shin, J</t>
  </si>
  <si>
    <t>New sesterterpenes from the antarctic sponge Suberites sp.</t>
  </si>
  <si>
    <t>TRANSFER PROTEIN</t>
  </si>
  <si>
    <t>Suberitenones C and D and suberiphenol, three new sesterterpenes of the suberitane class, were isolated from the sponge Suberites sp. collected from Antarctica. The structures of these compounds were determined on the basis of combined spectral and chemical analyses.</t>
  </si>
  <si>
    <t>Korea Ocean Res &amp; Dev Inst, Marine Nat Prod Lab, Polar Res Div, Seoul 425600, South Korea; Korea Maritime Univ, Div Ocean Sci, Pusan 606791, South Korea; Seoul Natl Univ, Coll Pharm, Inst Nat Prod Res, Seoul 110460, South Korea</t>
  </si>
  <si>
    <t>Korea Institute of Ocean Science &amp; Technology (KIOST); Korea Maritime &amp; Ocean University; Seoul National University (SNU)</t>
  </si>
  <si>
    <t>Shin, J (corresponding author), Korea Ocean Res &amp; Dev Inst, Marine Nat Prod Lab, Polar Res Div, Ansas POB 29, Seoul 425600, South Korea.</t>
  </si>
  <si>
    <t>shinj@snu.ac.kr</t>
  </si>
  <si>
    <t>10.1021/np030342t</t>
  </si>
  <si>
    <t>814VA</t>
  </si>
  <si>
    <t>WOS:000221001000024</t>
  </si>
  <si>
    <t>Luis, AJ; Kawamura, H</t>
  </si>
  <si>
    <t>Air-sea interaction, coastal circulation and primary production in the eastern Arabian Sea: A review</t>
  </si>
  <si>
    <t>JOURNAL OF OCEANOGRAPHY</t>
  </si>
  <si>
    <t>air-sea interaction; monsoons; coastal circulation; water masses; upwelling; primary production; chlorophyll-alpha; eastern Arabian Sea</t>
  </si>
  <si>
    <t>SURFACE CHLOROPHYLL-A; MIXED-LAYER DEPTH; PHYTOPLANKTON PIGMENT; SEASONAL CYCLE; SOUTHWEST MONSOON; LAKSHADWEEP SEA; WEST-COAST; VARIABILITY; OCEAN; INDIA</t>
  </si>
  <si>
    <t>Air-sea interaction, coastal circulation and primary production exhibit an annual cycle in the eastern Arabian Sea (AS). During June to September, strong southwesterly winds (4similar to9 m s(-1)) promote sea surface cooling through surface heat loss and vertical mixing in the central AS and force the West India Coastal Current equatorward. Positive wind stress curl induced by the Findlater jet facilitates Ekman pumping in the northern AS, and equatorward-directed alongshore wind stress induces upwelling which lowers sea surface temperature by about 2.5degreesC (compared to the offshore value) along the southwestern shelf of India and enhances phytoplankton concentration by more than 70% as compared to that in the central AS. During winter monsoon, from November to March, dry and weak northeasterly winds (2-6 m s(-1)) from the Indo-China continent enhance convective cooling of the upper ocean and deepen the mixed layer by more than 80 m, thereby increasing the vertical flux of nutrients in the photic layer which promotes wintertime phytoplankton blooms in the northern AS. The primary production rate integrated for photic layer and surface chlorophyll-a estimated from the Coastal Zone Color Scanner, both averaged for the entire western India shelf, increases from winter to summer monsoon from 24 to 70 g C m(-2) month and from 9 to 24 mg m(-2), respectively. Remotely-forced coastal Kelvin waves from the Bay of Bengal propagate into the coastal AS, which modulate circulation pattern along the western India shelf; these Kelvin waves in turn radiate Rossby waves which reverse the circulation in the Lakshadweep Sea semiannually. This review leads us to the conclusion that seasonal monsoon forcing and remotely forced waves modulate the circulation and primary production in the eastern AS.</t>
  </si>
  <si>
    <t>Tohoku Univ, Fac Sci, Ctr Atmospher &amp; Ocean Studies, Sendai, Miyagi 9808578, Japan</t>
  </si>
  <si>
    <t>Tohoku University</t>
  </si>
  <si>
    <t>Luis, AJ (corresponding author), Govt India, Natl Ctr Antarctic &amp; Ocean Res, Headland Sada, Vasco Da Gama 403804, Goa, India.</t>
  </si>
  <si>
    <t>0916-8370</t>
  </si>
  <si>
    <t>1573-868X</t>
  </si>
  <si>
    <t>J OCEANOGR</t>
  </si>
  <si>
    <t>J. Oceanogr.</t>
  </si>
  <si>
    <t>10.1023/B:JOCE.0000038327.33559.34</t>
  </si>
  <si>
    <t>806LQ</t>
  </si>
  <si>
    <t>WOS:000220435800001</t>
  </si>
  <si>
    <t>Giesecke, R; González, HE</t>
  </si>
  <si>
    <t>Feeding of Sagitta enflata and vertical distribution of chaetognaths in relation to low oxygen concentrations</t>
  </si>
  <si>
    <t>EUKROHNIA-HAMATA; BATHYMETRIC DISTRIBUTION; ANTARCTIC PENINSULA; NORTHERN BENGUELA; PREDATION IMPACT; GERLACHE STRAIT; SOUTHERN-OCEAN; EGG-PRODUCTION; WATER MASSES; PACIFIC</t>
  </si>
  <si>
    <t>Zooplankton samples were collected in Mejillones Bay, northern Chile (23degrees00'15''S, 70degrees26'43''W ). Sampling was conducted at 4 h intervals, for 24 h during three seasons, austral spring (October 2000), summer ( January 2001) and winter (August 2001) at three different strata (0-25, 25-50 and 50-100 m). Five species of chaetognaths were collected. Sagitta enflata was the most abundant species, representing up to 65% of all chaetognaths in total numbers, followed by Sagitta bierii, making up 34% of the total abundance of chaetognaths. S. enflata was distributed mainly above the Oxygen Minimum Zone, while S. bierii remained below this zone. Feeding rates were relatively constant within the upper layer (0-25 m depth), for each sampling date, averaging 1.2 prey S. enflata day(-1), and decreasing with depth. Gut content analyses demonstrated that predation was principally focused on small copepods (&lt;1500 mum), with greatest feeding activity occurring at night. The daily predation impact on the total standing stock of small copepods varied seasonally between 6% in spring and 0.4% in winter. This percentage may represent a negligible impact on the entire copepod community, but it is relevant at the species or genus level, since S. enflata removed more than 20% of the standing stock of Centropages brachiatus and Corycaeus sp. Thus, during some periods of the year, chaetognaths may strongly influence the abundance and size distribution of copepods in coastal upwelling ecosystems.</t>
  </si>
  <si>
    <t>Univ Austral Chile, Inst Marine Biol Jurgen Winter, Valdivia, Chile</t>
  </si>
  <si>
    <t>Universidad Austral de Chile</t>
  </si>
  <si>
    <t>Giesecke, R (corresponding author), Univ Austral Chile, Inst Marine Biol Jurgen Winter, POB 567, Valdivia, Chile.</t>
  </si>
  <si>
    <t>ricardogiesecke@uach.cl</t>
  </si>
  <si>
    <t>González, Humberto E./A-4039-2008</t>
  </si>
  <si>
    <t>Giesecke, Ricardo/0000-0002-8805-6089</t>
  </si>
  <si>
    <t>10.1093/plankt/fbh039</t>
  </si>
  <si>
    <t>813HD</t>
  </si>
  <si>
    <t>WOS:000220897300008</t>
  </si>
  <si>
    <t>Collins, MA; Allcock, AL; Belchier, M</t>
  </si>
  <si>
    <t>Cephalopods of the South Georgia slope</t>
  </si>
  <si>
    <t>ATLANTIC-OCEAN; SCOTIA SEA; ANTARCTICA; SQUID; PREDATORS; DIET; OCEANOGRAPHY; OCTOPODIDAE; MOLLUSCA; BIOLOGY</t>
  </si>
  <si>
    <t>During January 2003 the bathymetric distribution of the cephalopod fauna of the South Georgia and Shag Rocks slope (100-900 m) was investigated using a commercial bottom trawl. Forty-four trawl stations caught 193 cephalopod specimens including six species of octopod and seven of squid. The benthic octopods Pareledone turqueti and Adelieledone polymorpha were abundant in shallow water at South Georgia, being replaced by Thaumeledone gunteri in greater depths. However, neither A. polymorpha nor T gunteri were caught on the adjacent Shag Rocks area. Two specimens of the deep-sea genus Graneledone were caught on the South Georgia slope. The most abundant squid species caught were Moroteuthis knipovitchi, Psychroteuthis glacialis and Slosarczykovia circumantarctica, which are primarily pelagic and may have been taken when their vertical migrations impinged on the slope.</t>
  </si>
  <si>
    <t>British Antarctic Survey, NERC, Cambridge CB3 0ET, England; Queens Univ Belfast, Sch Biol &amp; Biochem, Ctr Med Biol, Belfast BT9 7BL, Antrim, North Ireland</t>
  </si>
  <si>
    <t>UK Research &amp; Innovation (UKRI); Natural Environment Research Council (NERC); NERC British Antarctic Survey; Queens University Belfast</t>
  </si>
  <si>
    <t>Allcock, Louise/A-7359-2012; Collins, Martin A/J-8560-2017; , Martin/ABE-6728-2020</t>
  </si>
  <si>
    <t>Allcock, Louise/0000-0002-4806-0040; , Martin/0000-0001-7132-8650</t>
  </si>
  <si>
    <t>10.1017/S0025315404009373h</t>
  </si>
  <si>
    <t>816WI</t>
  </si>
  <si>
    <t>WOS:000221139600020</t>
  </si>
  <si>
    <t>Martin, AR; Da Silva, VMF; Salmon, DL</t>
  </si>
  <si>
    <t>Riverine habitat preferences of botos (Inia geoffrensis) and tucuxis (Sotalia fluviatilis) in the central Amazon</t>
  </si>
  <si>
    <t>boto; Amazon river dolphin; Inia geoffrensis; tucuxi; Sotalia fluviatilis; habitat preference; rivers; line transect surveys; strip transect surveys</t>
  </si>
  <si>
    <t>DOLPHIN</t>
  </si>
  <si>
    <t>The distribution and density of the Amazon's two contrasting endemic dolphins-boto, or Amazon river dolphin, Inia geoffrensis, and tucuxi, Sotalia fluviatilis-were examined on two adjoining large rivers in western Brazil. Using a 17-m river boat as a sightings platform, strip transects were used to cover areas within 150 m of the river margin and line transects were used in all other areas. Highest densities of both dolphins occurred near the margin, and lowest in the center of rivers. Seven different habitats were identified along river margins. The boto and the tucuxi differed in some elements of habitat choice, but they shared a preference for areas with diminished current and where two channels joined. Neither species favored the two most common edge types in this region of the Amazon-mud banks and flooded forest margins. Overall, the most preferred habitat type was the least common, and known as meeting of the waters. In these areas a channel of sediment-rich white water meets one carrying acidic black water;, the resultant mixing produces particularly productive, and obviously attractive, conditions for dolphins. These results demonstrate that Amazonian dolphins selectively Occur in areas known to be favored for gill net deployment by local fishermen, and may explain why entanglement is apparently a common cause of mortality.</t>
  </si>
  <si>
    <t>Univ St Andrews, Gatty Marine Lab, NERC, Sea Mammal Res Unit, St Andrews KY16 9AJ, Fife, Scotland; Inst Nacl de Pesquisas da Amazonia, Lab Mamiferos Aquat, BR-69011790 Manaus, Amazonas, Brazil; British Antarctic Survey, NERC, Cambridge CB3 0ET, England</t>
  </si>
  <si>
    <t>University of St Andrews; UK Research &amp; Innovation (UKRI); Natural Environment Research Council (NERC); Institute Nacional de Pesquisas da Amazonia; UK Research &amp; Innovation (UKRI); Natural Environment Research Council (NERC); NERC British Antarctic Survey</t>
  </si>
  <si>
    <t>10.1111/j.1748-7692.2004.tb01150.x</t>
  </si>
  <si>
    <t>811YJ</t>
  </si>
  <si>
    <t>WOS:000220806900001</t>
  </si>
  <si>
    <t>Littnan, CL; Baker, JD; Parrish, FA; Marshall, GJ</t>
  </si>
  <si>
    <t>Effects of video camera attachment on the foraging behavior of immature Hawaiian monk seals</t>
  </si>
  <si>
    <t>SOUTHERN ELEPHANT SEALS; ANTARCTIC FUR SEALS; BODY-MASS LOSS; MONACHUS-SCHAUINSLANDI; MIROUNGA-LEONINA; CRITTERCAM; HABITAT; DEVICES</t>
  </si>
  <si>
    <t>NOAA, Natl Marine Fisheries Serv, Pacific Isl Fisheries Sci Ctr, Honolulu Lab, Honolulu, HI 96822 USA; Natl Geog Televis, Washington, DC 20036 USA</t>
  </si>
  <si>
    <t>National Aeronautics &amp; Space Administration (NASA); National Oceanic Atmospheric Admin (NOAA) - USA; National Geographic Society</t>
  </si>
  <si>
    <t>Littnan, CL (corresponding author), NOAA, Natl Marine Fisheries Serv, Pacific Isl Fisheries Sci Ctr, Honolulu Lab, 2570 Dole St, Honolulu, HI 96822 USA.</t>
  </si>
  <si>
    <t>charles.littnan@noaa.gov</t>
  </si>
  <si>
    <t>10.1111/j.1748-7692.2004.tb01164.x</t>
  </si>
  <si>
    <t>WOS:000220806900015</t>
  </si>
  <si>
    <t>Singh, RK; Gupta, AK</t>
  </si>
  <si>
    <t>Late Oligocene-Miocene paleoceanographic evolution of the southeastem Indian Ocean: evidence from deep-sea benthic foraminifera (ODP Site 757)</t>
  </si>
  <si>
    <t>late Oligocene; miocene; southeastern Indian ocean; benthic foraminifera</t>
  </si>
  <si>
    <t>PLIOCENE BIOGENIC BLOOM; CONTINENTAL-MARGIN; BENTHONIC FORAMINIFERA; PRODUCTIVITY CHANGES; ASIAN MONSOON; SOUTH CHINA; ARABIAN SEA; ATLANTIC; WATER; GULF</t>
  </si>
  <si>
    <t>We quantitatively analyzed deep-sea benthic foraminifera from &gt;125 mum size fraction from Ocean Drilling Program (ODP) Site 757 to understand deep-sea paleoceanographic changes in the southeastern Indian Ocean during the late Oligocene-Miocene (26.5-5.35 Ma). We used the knowledge of the ecology of Recent deep-sea benthic foraminifera for environmental interpretations. Factor and cluster analyses were run using percentages of 46 highest-ranked species that helped identify six biofacies defining six clusters of samples. The faunal data document a major shift in deep-sea ventilation, organic carbon flux and productivity at similar to 8.3 Ma, coinciding with the major intensification of the Indian Ocean monsoon system. This marks a change from cold and well-oxygenated deep waters with low and pulsed organic carbon flux during 26.5 to similar to 8.3 Ma to oxygen-poor deep waters with sustained flux of organic matter. From 15.0 to 7.6 Ma, the deep-sea currents were stronger in the southeastern Indian Ocean probably due to major expansion of the East Antarctic ice sheet and increased production of deep waters and in turn increased deep-sea circulation. The productivity increased in the Indo-Pacific region in the late Miocene and the modern monsoon regime probably established at 8.3 Ma. (C) 2004 Elsevier B.V. All rights reserved.</t>
  </si>
  <si>
    <t>Indian Inst Technol, Dept Geol &amp; Geophys, Kharagpur 721302, W Bengal, India</t>
  </si>
  <si>
    <t>Indian Institute of Technology System (IIT System); Indian Institute of Technology (IIT) - Kharagpur</t>
  </si>
  <si>
    <t>Indian Inst Technol, Dept Geol &amp; Geophys, Kharagpur 721302, W Bengal, India.</t>
  </si>
  <si>
    <t>anilg@gg.iitkgp.ernet.m</t>
  </si>
  <si>
    <t>SINGH, RAJ K./HGE-7393-2022; SINGH, RAJ K./ABE-4793-2021</t>
  </si>
  <si>
    <t>SINGH, RAJ K./0000-0003-2900-7145; SINGH, RAJ K./0000-0003-2900-7145; Gupta, Anil/0000-0003-0536-3911</t>
  </si>
  <si>
    <t>10.1016/j.marmicro.2003.10.003</t>
  </si>
  <si>
    <t>818AQ</t>
  </si>
  <si>
    <t>WOS:000221218400008</t>
  </si>
  <si>
    <t>Tindall, BJ</t>
  </si>
  <si>
    <t>Prokaryotic diversity in the Antarctic: The tip of the iceberg</t>
  </si>
  <si>
    <t>POLYMERASE-CHAIN-REACTION; RIBOSOMAL-RNA SEQUENCES; HYPERSALINE EKHO LAKE; SP-NOV; GEN. NOV.; SP. NOV.; ACE LAKE; PSYCHROPHILIC BACTERIA; SEA-ICE; HALOBACTERIUM-LACUSPROFUNDI</t>
  </si>
  <si>
    <t>In contrast to the rather limited diversity of plants and animals to be found in the Antarctic, the microbial diversity of this continent has been shown to be surprisingly diverse. Apparently barren soil and rock landscapes, as well as the numerous and diverse lakes found at the edges of the continent, harbor a range of prokaryotes which indicate that the extremely low temperatures which prevail seasonally are no obstacle to microbial colonization. Both direct cultivation methods and modern molecular genetic methods have contributed to our understanding of the range of organisms to be found. Cultivation based studies are often hampered by constraints inherent in the methods selected for the isolation of organisms. Molecular-based approaches do not suffer from the same cultivation-based biases, but other problems need to be taken into consideration. It has rarely been possible to combine both techniques in a single study, nor has it usually been possible to take the results and conclusions drawn from the study of one environment and apply this knowledge to a further series of experiments on the same environment. The Antarctic may be considered to be a geographically well isolated area to study. Comparison with other environments that may also be isolated from their surroundings (i.e., hot springs or highly saline lakes) allows parallels to be drawn. The conclusions drawn provide important insights into the way the Antarctic may have been colonized and the microbiota diversified. Much work still needs to be done beyond the simple task of making an inventory. The functioning of complex communities, such as mat systems, requires an understanding of the ecology of the systems, not only at the level of the whole system, but also the role of localized environments within that system. Perhaps these ecosystems have, in the absence of plant and animal communities, a role to play in the monitoring of polar climate change. The information available at present clearly indicates that the Antarctic is deserving of further study at the microbial level.</t>
  </si>
  <si>
    <t>Deutsch Sammlung Mikroorganismen &amp; Zellkulturen G, D-38124 Braunschweig, Germany</t>
  </si>
  <si>
    <t>Leibniz Institut fur Deutsche Sammlung von Mikroorganismen und Zellkulturen (DSMZ)</t>
  </si>
  <si>
    <t>Deutsch Sammlung Mikroorganismen &amp; Zellkulturen G, Mascheroder Weg 1B, D-38124 Braunschweig, Germany.</t>
  </si>
  <si>
    <t>10.1007/s00248-003-1050-7</t>
  </si>
  <si>
    <t>833RT</t>
  </si>
  <si>
    <t>WOS:000222357300010</t>
  </si>
  <si>
    <t>Lörz, AN; Held, C</t>
  </si>
  <si>
    <t>A preliminary molecular and morphological phylogeny of the Antarctic Epimeriidae and Iphimediidae (Crustacea, Amphipoda)</t>
  </si>
  <si>
    <t>Antarctica; benthic amphipods; cytochrome oxidase I; cladistics; Eusiridae; Epimeriidae; Iphimediidae</t>
  </si>
  <si>
    <t>MITOCHONDRIAL-DNA; MODEL</t>
  </si>
  <si>
    <t>The phylogenetic relationships of 14 species of the Antarctic amphipod families Epimeriidae and Iphimediidae were investigated using 553 bp of the gene for the mitochondrial cytochrome oxidase subunit I (COI) and 98 morphological characters. Both families are dominant members of the Antarctic benthic amphipod community. In contrast to previous studies, our molecular and morphological data suggest that the families Epimeriidae and Iphimediidae may not be sister taxa. Our study suggests that Iphimediidae are more closely related to Eusirus (Eusiridae) than to Epimeria (Epimeriidae). Phylogenetic analyses based on maximum parsimony (MP,) and maximum likelihood (ML) indicate that the genera Iphimediella and Gnathiphimedia are not monophyletic.. (C) 2003 Elsevier Inc. All rights reserved.</t>
  </si>
  <si>
    <t>Natl Inst Water &amp; Atmospher Res, Wellington, New Zealand; Ruhr Univ Bochum, D-44780 Bochum, Germany</t>
  </si>
  <si>
    <t>National Institute of Water &amp; Atmospheric Research (NIWA) - New Zealand; Ruhr University Bochum</t>
  </si>
  <si>
    <t>Natl Inst Water &amp; Atmospher Res, POB 14-901, Wellington, New Zealand.</t>
  </si>
  <si>
    <t>a.loerz@niwa.co.nz</t>
  </si>
  <si>
    <t>10.1016/j.ympev.2003.07.019</t>
  </si>
  <si>
    <t>807YM</t>
  </si>
  <si>
    <t>WOS:000220536800002</t>
  </si>
  <si>
    <t>Ahrens, J; Bahcall, JN; Bai, X; Bay, RC; Becka, T; Becker, KH; Berley, D; Bernardini, E; Bertrand, D; Besson, DZ; Blaufuss, E; Boersma, DJ; Böser, S; Bohm, C; Botner, O; Bouchta, A; Bouhali, O; Burgess, T; Carithers, W; Castermans, T; Cavin, J; Chinowsky, W; Chirkin, D; Collin, B; Conrad, J; Cooley, J; Cowen, DF; Davour, A; De Clercq, C; DeYoung, T; Desiati, P; Ehrlich, R; Ellsworth, RW; Evenson, PA; Fazely, AR; Feser, T; Gaisser, TK; Gallagher, J; Ganugapati, R; Geenen, H; Goldschmidt, A; Goodman, JA; Gunasingha, RM; Hallgren, A; Halzen, F; Hanson, K; Hardtke, R; Hauschildt, T; Hays, D; Helbing, K; Hellwig, M; Herquet, P; Hill, GC; Hubert, D; Hughey, B; Hulth, PO; Hultqvist, K; Hundertmark, S; Jacobsen, J; Japaridze, GS; Jones, A; Karle, A; Kawai, H; Kestel, M; Kitamura, N; Koch, R; Köpke, L; Kowalski, M; Lamoureux, JI; Leich, H; Liubarsky, I; Madsen, J; Matis, HS; McParland, CP; Messarius, T; Mészáros, P; Minaeva, Y; Minor, RH; Miocinovic, P; Miyamoto, H; Morse, R; Nahnhauer, R; Neunhöffer, T; Niessen, P; Nygren, DR; Ögelman, H; Olbrechts, P; Patton, S; Paulos, R; de los Heros, CP; Pohl, AC; Pretz, J; Price, PB; Przybylski, GT; Rawlins, K; Razzaque, S; Resconi, E; Rhode, W; Ribordy, M; Richter, S; Sander, HG; Schinarakis, K; Schlenstedt, S; Schneider, D; Schwarz, R; Seckel, D; Smith, AJ; Solarz, M; Spiczak, GM; Spiering, C; Stamatikos, M; Stanev, T; Steele, D; Steffen, P; Stezelberger, T; Stokstad, RG; Sulanke, KH; Sullivan, GW; Sumner, TJ; Taboada, I; Tilav, S; van Eijndhoven, N; Wagner, W; Walck, C; Wang, RR; Wiebusch, CH; Wiedemann, C; Wischnewski, R; Wissing, H; Woschnagg, K; Yoshida, S</t>
  </si>
  <si>
    <t>IceCube Collaboration</t>
  </si>
  <si>
    <t>Status of the IceCube Neutrino Observatory</t>
  </si>
  <si>
    <t>NEW ASTRONOMY REVIEWS</t>
  </si>
  <si>
    <t>2nd VERITAS Symposium on TeV Astrophysics from Extragalactic Sources</t>
  </si>
  <si>
    <t>APR 24-26, 2003</t>
  </si>
  <si>
    <t>Adler Planetarium &amp; AStron Museum, Chicago, IL</t>
  </si>
  <si>
    <t>Adler Planetarium &amp; AStron Museum</t>
  </si>
  <si>
    <t>HIGH-ENERGY NEUTRINOS</t>
  </si>
  <si>
    <t>The IceCube neutrino telescope, to be constructed near the Antarctic South Pole, represents the next generation of neutrino telescope. Its large 1 km(3) size will make it uniquely sensitive to the detection of neutrinos from astrophysical sources. The current design of the detector is presented. The basic performance of the detector and its ability to search for neutrinos from various astrophysical sources has been studied using detailed simulations and is discussed. (C) 2003 Published by Elsevier B.V.</t>
  </si>
  <si>
    <t>Univ Maryland, Dept Phys, College Pk, MD 20742 USA; Univ Delaware, Bartol Res Inst, Newark, DE 19716 USA; Berg Univ Wuppertal, Fachbereich Phys 8, D-42097 Wuppertal, Germany; Free Univ Brussels, Fac Sci, B-1050 Brussels, Belgium; Clark Atlanta Univ, CTSPS, Atlanta, GA 30314 USA; Chiba Univ, Dept Phys, Chiba 2638522, Japan; DESY, D-15738 Zeuthen, Germany; Univ London Imperial Coll Sci Technol &amp; Med, Blackett Lab, London SW7 2BW, England; Inst Adv Study, Princeton, NJ 08540 USA; Univ Kansas, Dept Phys &amp; Astron, Lawrence, KS 66045 USA; Lawrence Berkeley Natl Lab, Berkeley, CA 94720 USA; Penn State Univ, Dept Astron &amp; Astrophys, University Pk, PA 16802 USA; Penn State Univ, Dept Phys, University Pk, PA 16802 USA; So Univ, Dept Phys, Baton Rouge, LA 70813 USA; Univ Calif Berkeley, Dept Phys, Berkeley, CA 94720 USA; Johannes Gutenberg Univ Mainz, Inst Phys, D-55099 Mainz, Germany; George Mason Univ, Dept Phys, Fairfax, VA 22030 USA; Univ Mons, B-7000 Mons, Belgium; Univ Simon Bolivar, Dept Fis, Caracas 1080, Venezuela; Univ Wisconsin, Dept Astron, Madison, WI 53706 USA; Univ Wisconsin, Dept Phys, Madison, WI 53706 USA; Univ Wisconsin, SSEC, Madison, WI 53706 USA; Univ Wisconsin, Dept Phys, River Falls, WI 54022 USA; Uppsala Univ, Div High Energy Phys, S-75121 Uppsala, Sweden; Univ Utrecht, Fac Phys &amp; Astron, NL-3584 CC Utrecht, Netherlands; Stockholm Univ, Dept Phys, SE-10691 Stockholm, Sweden; Free Univ Brussels, Dienst ELEM, B-1050 Brussels, Belgium</t>
  </si>
  <si>
    <t>University System of Maryland; University of Maryland College Park; University of Delaware; University of Wuppertal; Universite Libre de Bruxelles; Clark Atlanta University; Chiba University; Helmholtz Association; Deutsches Elektronen-Synchrotron (DESY); Imperial College London; Institute for Advanced Study - USA; University of Kansas; United States Department of Energy (DOE); Lawrence Berkeley National Laboratory; Pennsylvania Commonwealth System of Higher Education (PCSHE); Pennsylvania State University; Pennsylvania State University - University Park; Pennsylvania Commonwealth System of Higher Education (PCSHE); Pennsylvania State University; Pennsylvania State University - University Park; Southern University System; Southern University &amp; A&amp;M College; University of California System; University of California Berkeley; Johannes Gutenberg University of Mainz; George Mason University; University of Mons; Simon Bolivar University; University of Wisconsin System; University of Wisconsin Madison; University of Wisconsin System; University of Wisconsin Madison; University of Wisconsin System; University of Wisconsin Madison; University of Wisconsin System; Uppsala University; Utrecht University; Stockholm University; Universite Libre de Bruxelles</t>
  </si>
  <si>
    <t>Sullivan, GW (corresponding author), Univ Maryland, Dept Phys, College Pk, MD 20742 USA.</t>
  </si>
  <si>
    <t>sullivan@umdgrb.umd.edu</t>
  </si>
  <si>
    <t>Hundertmark, Stephan/A-6592-2010; Wiebusch, Christopher H.V./G-6490-2012; Hallgren, Allan/A-8963-2013; Matis, Howard/AAO-2082-2021; Sánchez, Juan Antonio Aguilar/H-4467-2015; DeYoung, Tyce/O-6895-2019; Matis, Howard S/HMV-9747-2023; Bouhali, Othmane/JXM-3572-2024; Bernardini, Elisa/AAA-4810-2020; Hubert, Daan/I-1096-2019; Botner, Olga/A-9110-2013; Resconi, Elisa/I-3874-2016; Goodman, Jordan A/J-4188-2018; Schinarakis, Konstantinos/GPK-5766-2022; Diaz Velez, Juan Carlos/T-2788-2018; Kowalski, Marek/G-5546-2012</t>
  </si>
  <si>
    <t>Wiebusch, Christopher H.V./0000-0002-6418-3008; DeYoung, Tyce/0000-0003-4873-3783; Matis, Howard S/0000-0003-0764-4389; Bouhali, Othmane/0000-0001-7139-7322; Bernardini, Elisa/0000-0003-3108-1141; Hubert, Daan/0000-0002-4365-865X; Resconi, Elisa/0000-0003-0705-2770; Schinarakis, Konstantinos/0000-0003-4248-2290; Burgess, Thomas/0000-0002-6993-5918; Diaz Velez, Juan Carlos/0000-0002-0087-0693; Hill, Gary/0000-0001-8881-6802; Yoshida, Shigeru/0000-0003-2480-5105; Sumner, Timothy/0000-0002-3572-600X; De Clercq, Catherine/0000-0001-5266-7059; Cooley, Jodi/0000-0001-6761-2042; Desiati, Paolo/0000-0001-9768-1858; Taboada, Ignacio/0000-0003-3509-3457; Rhode, Wolfgang/0000-0003-2636-5000; Perez de los Heros, Carlos/0000-0002-2084-5866; Spiczak, Glenn/0000-0002-0030-0519; Razzaque, Soebur/0000-0002-0130-2460; Helbing, Klaus/0000-0003-2072-4172; Kowalski, Marek/0000-0001-8594-8666; Meszaros, Peter/0000-0002-4132-1746</t>
  </si>
  <si>
    <t>1387-6473</t>
  </si>
  <si>
    <t>1872-9630</t>
  </si>
  <si>
    <t>NEW ASTRON REV</t>
  </si>
  <si>
    <t>New Astron. Rev.</t>
  </si>
  <si>
    <t>10.1016/j.newar.2003.12.031</t>
  </si>
  <si>
    <t>815ZK</t>
  </si>
  <si>
    <t>WOS:000221080000038</t>
  </si>
  <si>
    <t>Appiah, AA; Flood, J; Archer, SA; Bridge, PD</t>
  </si>
  <si>
    <t>Molecular analysis of the major Phytophthora species on cocoa</t>
  </si>
  <si>
    <t>PLANT PATHOLOGY</t>
  </si>
  <si>
    <t>interspecific variation; rDNA-ITS region; RFLPs</t>
  </si>
  <si>
    <t>RIBOSOMAL DNA; GENETIC DIVERSITY; IDENTIFICATION; SEQUENCES; POLYMORPHISMS; AMPLIFICATION; PHYLOGENY; PALMIVORA; PATHOGEN; STRAINS</t>
  </si>
  <si>
    <t>The internally transcribed spacer (ITS) regions of the ribosomal RNA (rRNA) gene cluster of 161 isolates of Phytophthora species involved in pod rot, stem canker and leaf blight of cocoa were analysed to determine inter- and intraspecific variation in this disease complex. The species P. palmivora, P. megakarya, P. capsici, P. citrophthora and P. nicotianae could all be clearly distinguished by PCR amplification of the ITS region followed by restriction analysis with HaeIII, HinfI, PvuII and AluI. This method provided a relatively rapid identification procedure for these species, and was able to distinguish isolates that had previously been misidentified by morphological methods. Sequence analysis showed that the four main cocoa-associated species formed two distinct groups, one comprising P. capsici and P. citrophthora, and the other P. palmivora and P. megakarya. Detailed sequence analysis and comparison with published literature suggested that P. capsici isolates from cocoa may be closely related to P. tropicalis, a species recently described from Cyclamen and Dianthus.</t>
  </si>
  <si>
    <t>UK Ctr, CABI Biosci, Egham TW20 9TY, Surrey, England; Univ London Imperial Coll Sci Technol &amp; Med, Dept Biol, Ascot SL5 7PY, Berks, England; Univ London Birkbeck Coll, Sch Biol &amp; Chem Sci, London WC1E 7HX, England; Royal Bot Gardens, Mycol Sect, Surrey TW9 3AH, England</t>
  </si>
  <si>
    <t>Imperial College London; University of London; Birkbeck University London; Royal Botanic Gardens, Kew</t>
  </si>
  <si>
    <t>pdbr@bas.ac.uk</t>
  </si>
  <si>
    <t>Appiah, Alex Asante/0000-0003-2363-7533</t>
  </si>
  <si>
    <t>0032-0862</t>
  </si>
  <si>
    <t>1365-3059</t>
  </si>
  <si>
    <t>PLANT PATHOL</t>
  </si>
  <si>
    <t>Plant Pathol.</t>
  </si>
  <si>
    <t>10.1111/j.0032-0862.2004.00980.x</t>
  </si>
  <si>
    <t>Agronomy; Plant Sciences</t>
  </si>
  <si>
    <t>Agriculture; Plant Sciences</t>
  </si>
  <si>
    <t>816FH</t>
  </si>
  <si>
    <t>WOS:000221095300011</t>
  </si>
  <si>
    <t>Pérez-Sierra, A; Guillaumin, JJ; Spooner, BM; Bridge, PD</t>
  </si>
  <si>
    <t>Characterization of Armillaria heimii from Africa</t>
  </si>
  <si>
    <t>Africa; AFLP; Armillaria; PCR; phylogeny; RFLP</t>
  </si>
  <si>
    <t>RIBOSOMAL DNA; PCR AMPLIFICATION; IDENTIFICATION; HETEROGENEITY; REGION; MELLEA</t>
  </si>
  <si>
    <t>Armillaria heimii is one of the most widespread Armillaria species recorded in Africa. The species was originally described as Clitocybe (Armillariella) elegans Heim, and was renamed as Armillaria heimii Pegler; this name was subsequently made synonymous with A. fuscipes Petch to represent as a single morphological species. Recent molecular work has suggested that isolates previously identified as A. heimii were distinct and may represent A. fuscipes or another Armillaria species. A collection of isolates that had been identified as A. heimii from different African countries were included in an integrated study that included amplified restriction-length polymorphism (AFLP) fingerprinting, polymerase chain reaction-restriction fragment-length polymorphism (PCR-RFLP), sequencing, induction of basidiomata in vitro and somatic compatibility, in order to determine their identity. Although the isolates could be assigned to one of two molecular groups, the morphology and somatic compatibility characters suggested that the two groups represent different forms of a single species that closely matches the original description of A. heimii.</t>
  </si>
  <si>
    <t>Royal Hort Soc, Surrey GU23 6QB, England; INRA, Ctr Clermont Ferrand Theix, UMR Ameliorat &amp; Sante Plantes, F-63039 Clermont Ferrand, France; Royal Bot Gardens Kew, Mycol Sect, Surrey TW9 3AB, England; Univ London Birkbeck Coll, London WC1E 7HX, England</t>
  </si>
  <si>
    <t>INRAE; Royal Botanic Gardens, Kew; University of London; Birkbeck University London</t>
  </si>
  <si>
    <t>British Antarctic Survey, High Cross,Madingley Rd, Cambridge CB3 0E, England.</t>
  </si>
  <si>
    <t>Pérez Sierra, Ana/AAE-9414-2021</t>
  </si>
  <si>
    <t>Pérez Sierra, Ana/0000-0001-5403-1433</t>
  </si>
  <si>
    <t>10.1111/j.0032-0862.2004.00999.x</t>
  </si>
  <si>
    <t>WOS:000221095300012</t>
  </si>
  <si>
    <t>Salvucci, ME; Crafts-Brandner, SJ</t>
  </si>
  <si>
    <t>Relationship between the heat tolerance of photosynthesis and the thermal stability of rubisco activase in plants from contrasting thermal environments</t>
  </si>
  <si>
    <t>PLANT PHYSIOLOGY</t>
  </si>
  <si>
    <t>RIBULOSE-1,5-BISPHOSPHATE CARBOXYLASE/OXYGENASE RUBISCO; HIGH-TEMPERATURE; ELECTRON-TRANSPORT; LIGHT-ACTIVATION; INTACT LEAVES; ELEVATED CO2; SENSITIVITY; STRESS; ACCLIMATION; INHIBITION</t>
  </si>
  <si>
    <t>Inhibition of net photosynthesis (Pn) by moderate heat stress has been attributed to an inability of Rubisco activase to maintain Rubisco in an active form. To examine this proposal, the temperature response of Pn, Rubisco activation, chlorophyll fluorescence, and the activities of Rubisco and Rubisco activase were examined in species from contrasting environments. The temperature optimum of Rubisco activation was 10degreesC higher in the creosote bush (Larrea tridentata) compared with the Antarctic hairgrass (Deschampsia antarctica), resembling the temperature response of Pn. Pn increased markedly with increasing internal CO2 concentration in Antarctic hairgrass and creosote bush plants subjected to moderate heat stress even under nonphotorespiratory conditions. Nonphotochernical quenching of chlorophyll fluorescence, the effective quantum yield of photochemical energy conversion (DeltaF/F-m') and the maximum yield of PSII (F-v/F-m) were more sensitive to temperature in Antarctic hairgrass and two other species endemic to cold regions (i.e. Lysipomia pumila and spinach [Spinacea oleracea]) compared with creosote bush and three species (i.e. jojoba [Simmondsia chinensis], tobacco [Nicotiana tabacum], and cotton [Gossypium hirstitum]) from warm regions. The temperature response of activity and the rate of catalytic inactivation of Rubisco from creosote bush and Antarctic hairgrass were similar, whereas the optimum for ATP hydrolysis and Rubisco activation by recombinant creosote bush, cotton, and tobacco activase was 8degreesC to 10degreesC higher than for Antarctic hairgrass and spinach activase. These results support a role for activase in limiting photosynthesis at high temperature.</t>
  </si>
  <si>
    <t>ARS, USDA, Western Cotton Res Lab, Phoenix, AZ 85040 USA</t>
  </si>
  <si>
    <t>United States Department of Agriculture (USDA)</t>
  </si>
  <si>
    <t>ARS, USDA, Western Cotton Res Lab, Phoenix, AZ 85040 USA.</t>
  </si>
  <si>
    <t>msalvucci@wcrl.ars.usda.gov</t>
  </si>
  <si>
    <t>AMER SOC PLANT BIOLOGISTS</t>
  </si>
  <si>
    <t>15501 MONONA DRIVE, ROCKVILLE, MD 20855 USA</t>
  </si>
  <si>
    <t>0032-0889</t>
  </si>
  <si>
    <t>1532-2548</t>
  </si>
  <si>
    <t>PLANT PHYSIOL</t>
  </si>
  <si>
    <t>Plant Physiol.</t>
  </si>
  <si>
    <t>10.1104/pp.103.038323</t>
  </si>
  <si>
    <t>812SY</t>
  </si>
  <si>
    <t>WOS:000220860400022</t>
  </si>
  <si>
    <t>Olivier, F; Lee, AV; Woehler, EJ</t>
  </si>
  <si>
    <t>Distribution and abundance of snow petrels pagodroma nivea in the windmill islands, east antarctica</t>
  </si>
  <si>
    <t>SURVIVAL; SEABIRDS</t>
  </si>
  <si>
    <t>In light of a paucity of available data on snow-petrel breeding areas and population sizes in the Australian Antarctic Territory, we undertook a systematic regional survey in the Windmill Islands during the 2002/2003 summer. Snow petrels were found breeding at most ice-free localities at varying densities. A total of 4,034 active snow-petrel nests were located; 83% of these active nests were located in the southern half of the survey area. Based on the surveys, we provide distribution maps of nesting areas at a regional scale and estimate the total breeding population at approximately 12,200 pairs.</t>
  </si>
  <si>
    <t>Olivier, F (corresponding author), Univ Tasmania, Inst Antarctic &amp; So Ocean Studies, Private Bag 77, Hobart, Tas 7001, Australia.</t>
  </si>
  <si>
    <t>folivier@utas.edu.au</t>
  </si>
  <si>
    <t>10.1007/s00300-004-0595-3</t>
  </si>
  <si>
    <t>802US</t>
  </si>
  <si>
    <t>WOS:000220189000001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</si>
</sst>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75</v>
      </c>
      <c r="E2" t="s">
        <v>74</v>
      </c>
      <c r="F2" t="s">
        <v>73</v>
      </c>
      <c r="G2" t="s">
        <v>74</v>
      </c>
      <c r="H2" t="s">
        <v>74</v>
      </c>
      <c r="I2" t="s">
        <v>76</v>
      </c>
      <c r="J2" t="s">
        <v>77</v>
      </c>
      <c r="K2" t="s">
        <v>78</v>
      </c>
      <c r="L2" t="s">
        <v>74</v>
      </c>
      <c r="M2" t="s">
        <v>79</v>
      </c>
      <c r="N2" t="s">
        <v>80</v>
      </c>
      <c r="O2" t="s">
        <v>81</v>
      </c>
      <c r="P2" t="s">
        <v>82</v>
      </c>
      <c r="Q2" t="s">
        <v>83</v>
      </c>
      <c r="R2" t="s">
        <v>74</v>
      </c>
      <c r="S2" t="s">
        <v>84</v>
      </c>
      <c r="T2" t="s">
        <v>85</v>
      </c>
      <c r="U2" t="s">
        <v>74</v>
      </c>
      <c r="V2" t="s">
        <v>86</v>
      </c>
      <c r="W2" t="s">
        <v>87</v>
      </c>
      <c r="X2" t="s">
        <v>88</v>
      </c>
      <c r="Y2" t="s">
        <v>74</v>
      </c>
      <c r="Z2" t="s">
        <v>74</v>
      </c>
      <c r="AA2" t="s">
        <v>74</v>
      </c>
      <c r="AB2" t="s">
        <v>74</v>
      </c>
      <c r="AC2" t="s">
        <v>74</v>
      </c>
      <c r="AD2" t="s">
        <v>74</v>
      </c>
      <c r="AE2" t="s">
        <v>74</v>
      </c>
      <c r="AF2" t="s">
        <v>74</v>
      </c>
      <c r="AG2">
        <v>0</v>
      </c>
      <c r="AH2">
        <v>0</v>
      </c>
      <c r="AI2">
        <v>0</v>
      </c>
      <c r="AJ2">
        <v>0</v>
      </c>
      <c r="AK2">
        <v>0</v>
      </c>
      <c r="AL2" t="s">
        <v>89</v>
      </c>
      <c r="AM2" t="s">
        <v>90</v>
      </c>
      <c r="AN2" t="s">
        <v>91</v>
      </c>
      <c r="AO2" t="s">
        <v>92</v>
      </c>
      <c r="AP2" t="s">
        <v>74</v>
      </c>
      <c r="AQ2" t="s">
        <v>74</v>
      </c>
      <c r="AR2" t="s">
        <v>93</v>
      </c>
      <c r="AS2" t="s">
        <v>74</v>
      </c>
      <c r="AT2" t="s">
        <v>74</v>
      </c>
      <c r="AU2">
        <v>2005</v>
      </c>
      <c r="AV2" t="s">
        <v>74</v>
      </c>
      <c r="AW2" t="s">
        <v>74</v>
      </c>
      <c r="AX2" t="s">
        <v>74</v>
      </c>
      <c r="AY2" t="s">
        <v>74</v>
      </c>
      <c r="AZ2" t="s">
        <v>74</v>
      </c>
      <c r="BA2" t="s">
        <v>74</v>
      </c>
      <c r="BB2">
        <v>209</v>
      </c>
      <c r="BC2">
        <v>213</v>
      </c>
      <c r="BD2" t="s">
        <v>74</v>
      </c>
      <c r="BE2" t="s">
        <v>74</v>
      </c>
      <c r="BF2" t="s">
        <v>74</v>
      </c>
      <c r="BG2" t="s">
        <v>74</v>
      </c>
      <c r="BH2" t="s">
        <v>74</v>
      </c>
      <c r="BI2">
        <v>5</v>
      </c>
      <c r="BJ2" t="s">
        <v>94</v>
      </c>
      <c r="BK2" t="s">
        <v>95</v>
      </c>
      <c r="BL2" t="s">
        <v>96</v>
      </c>
      <c r="BM2" t="s">
        <v>97</v>
      </c>
      <c r="BN2" t="s">
        <v>74</v>
      </c>
      <c r="BO2" t="s">
        <v>74</v>
      </c>
      <c r="BP2" t="s">
        <v>74</v>
      </c>
      <c r="BQ2" t="s">
        <v>74</v>
      </c>
      <c r="BR2" t="s">
        <v>98</v>
      </c>
      <c r="BS2" t="s">
        <v>99</v>
      </c>
      <c r="BT2" t="str">
        <f>HYPERLINK("https%3A%2F%2Fwww.webofscience.com%2Fwos%2Fwoscc%2Ffull-record%2FWOS:000228360100022","View Full Record in Web of Science")</f>
        <v>View Full Record in Web of Science</v>
      </c>
    </row>
    <row r="3" spans="1:72" x14ac:dyDescent="0.15">
      <c r="A3" t="s">
        <v>72</v>
      </c>
      <c r="B3" t="s">
        <v>100</v>
      </c>
      <c r="C3" t="s">
        <v>74</v>
      </c>
      <c r="D3" t="s">
        <v>75</v>
      </c>
      <c r="E3" t="s">
        <v>74</v>
      </c>
      <c r="F3" t="s">
        <v>100</v>
      </c>
      <c r="G3" t="s">
        <v>74</v>
      </c>
      <c r="H3" t="s">
        <v>74</v>
      </c>
      <c r="I3" t="s">
        <v>101</v>
      </c>
      <c r="J3" t="s">
        <v>77</v>
      </c>
      <c r="K3" t="s">
        <v>78</v>
      </c>
      <c r="L3" t="s">
        <v>74</v>
      </c>
      <c r="M3" t="s">
        <v>79</v>
      </c>
      <c r="N3" t="s">
        <v>80</v>
      </c>
      <c r="O3" t="s">
        <v>81</v>
      </c>
      <c r="P3" t="s">
        <v>82</v>
      </c>
      <c r="Q3" t="s">
        <v>83</v>
      </c>
      <c r="R3" t="s">
        <v>74</v>
      </c>
      <c r="S3" t="s">
        <v>84</v>
      </c>
      <c r="T3" t="s">
        <v>74</v>
      </c>
      <c r="U3" t="s">
        <v>74</v>
      </c>
      <c r="V3" t="s">
        <v>74</v>
      </c>
      <c r="W3" t="s">
        <v>102</v>
      </c>
      <c r="X3" t="s">
        <v>103</v>
      </c>
      <c r="Y3" t="s">
        <v>74</v>
      </c>
      <c r="Z3" t="s">
        <v>74</v>
      </c>
      <c r="AA3" t="s">
        <v>74</v>
      </c>
      <c r="AB3" t="s">
        <v>74</v>
      </c>
      <c r="AC3" t="s">
        <v>74</v>
      </c>
      <c r="AD3" t="s">
        <v>74</v>
      </c>
      <c r="AE3" t="s">
        <v>74</v>
      </c>
      <c r="AF3" t="s">
        <v>74</v>
      </c>
      <c r="AG3">
        <v>0</v>
      </c>
      <c r="AH3">
        <v>0</v>
      </c>
      <c r="AI3">
        <v>0</v>
      </c>
      <c r="AJ3">
        <v>0</v>
      </c>
      <c r="AK3">
        <v>0</v>
      </c>
      <c r="AL3" t="s">
        <v>89</v>
      </c>
      <c r="AM3" t="s">
        <v>90</v>
      </c>
      <c r="AN3" t="s">
        <v>91</v>
      </c>
      <c r="AO3" t="s">
        <v>92</v>
      </c>
      <c r="AP3" t="s">
        <v>74</v>
      </c>
      <c r="AQ3" t="s">
        <v>74</v>
      </c>
      <c r="AR3" t="s">
        <v>93</v>
      </c>
      <c r="AS3" t="s">
        <v>74</v>
      </c>
      <c r="AT3" t="s">
        <v>74</v>
      </c>
      <c r="AU3">
        <v>2005</v>
      </c>
      <c r="AV3" t="s">
        <v>74</v>
      </c>
      <c r="AW3" t="s">
        <v>74</v>
      </c>
      <c r="AX3" t="s">
        <v>74</v>
      </c>
      <c r="AY3" t="s">
        <v>74</v>
      </c>
      <c r="AZ3" t="s">
        <v>74</v>
      </c>
      <c r="BA3" t="s">
        <v>74</v>
      </c>
      <c r="BB3">
        <v>215</v>
      </c>
      <c r="BC3">
        <v>216</v>
      </c>
      <c r="BD3" t="s">
        <v>74</v>
      </c>
      <c r="BE3" t="s">
        <v>74</v>
      </c>
      <c r="BF3" t="s">
        <v>74</v>
      </c>
      <c r="BG3" t="s">
        <v>74</v>
      </c>
      <c r="BH3" t="s">
        <v>74</v>
      </c>
      <c r="BI3">
        <v>2</v>
      </c>
      <c r="BJ3" t="s">
        <v>94</v>
      </c>
      <c r="BK3" t="s">
        <v>95</v>
      </c>
      <c r="BL3" t="s">
        <v>96</v>
      </c>
      <c r="BM3" t="s">
        <v>97</v>
      </c>
      <c r="BN3" t="s">
        <v>74</v>
      </c>
      <c r="BO3" t="s">
        <v>74</v>
      </c>
      <c r="BP3" t="s">
        <v>74</v>
      </c>
      <c r="BQ3" t="s">
        <v>74</v>
      </c>
      <c r="BR3" t="s">
        <v>98</v>
      </c>
      <c r="BS3" t="s">
        <v>104</v>
      </c>
      <c r="BT3" t="str">
        <f>HYPERLINK("https%3A%2F%2Fwww.webofscience.com%2Fwos%2Fwoscc%2Ffull-record%2FWOS:000228360100023","View Full Record in Web of Science")</f>
        <v>View Full Record in Web of Science</v>
      </c>
    </row>
    <row r="4" spans="1:72" x14ac:dyDescent="0.15">
      <c r="A4" t="s">
        <v>72</v>
      </c>
      <c r="B4" t="s">
        <v>105</v>
      </c>
      <c r="C4" t="s">
        <v>74</v>
      </c>
      <c r="D4" t="s">
        <v>75</v>
      </c>
      <c r="E4" t="s">
        <v>74</v>
      </c>
      <c r="F4" t="s">
        <v>105</v>
      </c>
      <c r="G4" t="s">
        <v>74</v>
      </c>
      <c r="H4" t="s">
        <v>74</v>
      </c>
      <c r="I4" t="s">
        <v>106</v>
      </c>
      <c r="J4" t="s">
        <v>77</v>
      </c>
      <c r="K4" t="s">
        <v>78</v>
      </c>
      <c r="L4" t="s">
        <v>74</v>
      </c>
      <c r="M4" t="s">
        <v>79</v>
      </c>
      <c r="N4" t="s">
        <v>80</v>
      </c>
      <c r="O4" t="s">
        <v>81</v>
      </c>
      <c r="P4" t="s">
        <v>82</v>
      </c>
      <c r="Q4" t="s">
        <v>83</v>
      </c>
      <c r="R4" t="s">
        <v>74</v>
      </c>
      <c r="S4" t="s">
        <v>84</v>
      </c>
      <c r="T4" t="s">
        <v>74</v>
      </c>
      <c r="U4" t="s">
        <v>74</v>
      </c>
      <c r="V4" t="s">
        <v>107</v>
      </c>
      <c r="W4" t="s">
        <v>108</v>
      </c>
      <c r="X4" t="s">
        <v>103</v>
      </c>
      <c r="Y4" t="s">
        <v>74</v>
      </c>
      <c r="Z4" t="s">
        <v>74</v>
      </c>
      <c r="AA4" t="s">
        <v>74</v>
      </c>
      <c r="AB4" t="s">
        <v>74</v>
      </c>
      <c r="AC4" t="s">
        <v>74</v>
      </c>
      <c r="AD4" t="s">
        <v>74</v>
      </c>
      <c r="AE4" t="s">
        <v>74</v>
      </c>
      <c r="AF4" t="s">
        <v>74</v>
      </c>
      <c r="AG4">
        <v>0</v>
      </c>
      <c r="AH4">
        <v>0</v>
      </c>
      <c r="AI4">
        <v>0</v>
      </c>
      <c r="AJ4">
        <v>0</v>
      </c>
      <c r="AK4">
        <v>0</v>
      </c>
      <c r="AL4" t="s">
        <v>89</v>
      </c>
      <c r="AM4" t="s">
        <v>90</v>
      </c>
      <c r="AN4" t="s">
        <v>91</v>
      </c>
      <c r="AO4" t="s">
        <v>92</v>
      </c>
      <c r="AP4" t="s">
        <v>74</v>
      </c>
      <c r="AQ4" t="s">
        <v>74</v>
      </c>
      <c r="AR4" t="s">
        <v>93</v>
      </c>
      <c r="AS4" t="s">
        <v>74</v>
      </c>
      <c r="AT4" t="s">
        <v>74</v>
      </c>
      <c r="AU4">
        <v>2005</v>
      </c>
      <c r="AV4" t="s">
        <v>74</v>
      </c>
      <c r="AW4" t="s">
        <v>74</v>
      </c>
      <c r="AX4" t="s">
        <v>74</v>
      </c>
      <c r="AY4" t="s">
        <v>74</v>
      </c>
      <c r="AZ4" t="s">
        <v>74</v>
      </c>
      <c r="BA4" t="s">
        <v>74</v>
      </c>
      <c r="BB4">
        <v>217</v>
      </c>
      <c r="BC4">
        <v>218</v>
      </c>
      <c r="BD4" t="s">
        <v>74</v>
      </c>
      <c r="BE4" t="s">
        <v>74</v>
      </c>
      <c r="BF4" t="s">
        <v>74</v>
      </c>
      <c r="BG4" t="s">
        <v>74</v>
      </c>
      <c r="BH4" t="s">
        <v>74</v>
      </c>
      <c r="BI4">
        <v>2</v>
      </c>
      <c r="BJ4" t="s">
        <v>94</v>
      </c>
      <c r="BK4" t="s">
        <v>95</v>
      </c>
      <c r="BL4" t="s">
        <v>96</v>
      </c>
      <c r="BM4" t="s">
        <v>97</v>
      </c>
      <c r="BN4" t="s">
        <v>74</v>
      </c>
      <c r="BO4" t="s">
        <v>74</v>
      </c>
      <c r="BP4" t="s">
        <v>74</v>
      </c>
      <c r="BQ4" t="s">
        <v>74</v>
      </c>
      <c r="BR4" t="s">
        <v>98</v>
      </c>
      <c r="BS4" t="s">
        <v>109</v>
      </c>
      <c r="BT4" t="str">
        <f>HYPERLINK("https%3A%2F%2Fwww.webofscience.com%2Fwos%2Fwoscc%2Ffull-record%2FWOS:000228360100024","View Full Record in Web of Science")</f>
        <v>View Full Record in Web of Science</v>
      </c>
    </row>
    <row r="5" spans="1:72" x14ac:dyDescent="0.15">
      <c r="A5" t="s">
        <v>72</v>
      </c>
      <c r="B5" t="s">
        <v>110</v>
      </c>
      <c r="C5" t="s">
        <v>74</v>
      </c>
      <c r="D5" t="s">
        <v>75</v>
      </c>
      <c r="E5" t="s">
        <v>74</v>
      </c>
      <c r="F5" t="s">
        <v>110</v>
      </c>
      <c r="G5" t="s">
        <v>74</v>
      </c>
      <c r="H5" t="s">
        <v>74</v>
      </c>
      <c r="I5" t="s">
        <v>111</v>
      </c>
      <c r="J5" t="s">
        <v>77</v>
      </c>
      <c r="K5" t="s">
        <v>78</v>
      </c>
      <c r="L5" t="s">
        <v>74</v>
      </c>
      <c r="M5" t="s">
        <v>79</v>
      </c>
      <c r="N5" t="s">
        <v>80</v>
      </c>
      <c r="O5" t="s">
        <v>81</v>
      </c>
      <c r="P5" t="s">
        <v>82</v>
      </c>
      <c r="Q5" t="s">
        <v>83</v>
      </c>
      <c r="R5" t="s">
        <v>74</v>
      </c>
      <c r="S5" t="s">
        <v>84</v>
      </c>
      <c r="T5" t="s">
        <v>74</v>
      </c>
      <c r="U5" t="s">
        <v>74</v>
      </c>
      <c r="V5" t="s">
        <v>112</v>
      </c>
      <c r="W5" t="s">
        <v>113</v>
      </c>
      <c r="X5" t="s">
        <v>103</v>
      </c>
      <c r="Y5" t="s">
        <v>74</v>
      </c>
      <c r="Z5" t="s">
        <v>74</v>
      </c>
      <c r="AA5" t="s">
        <v>74</v>
      </c>
      <c r="AB5" t="s">
        <v>74</v>
      </c>
      <c r="AC5" t="s">
        <v>74</v>
      </c>
      <c r="AD5" t="s">
        <v>74</v>
      </c>
      <c r="AE5" t="s">
        <v>74</v>
      </c>
      <c r="AF5" t="s">
        <v>74</v>
      </c>
      <c r="AG5">
        <v>1</v>
      </c>
      <c r="AH5">
        <v>0</v>
      </c>
      <c r="AI5">
        <v>0</v>
      </c>
      <c r="AJ5">
        <v>0</v>
      </c>
      <c r="AK5">
        <v>0</v>
      </c>
      <c r="AL5" t="s">
        <v>89</v>
      </c>
      <c r="AM5" t="s">
        <v>90</v>
      </c>
      <c r="AN5" t="s">
        <v>91</v>
      </c>
      <c r="AO5" t="s">
        <v>92</v>
      </c>
      <c r="AP5" t="s">
        <v>74</v>
      </c>
      <c r="AQ5" t="s">
        <v>74</v>
      </c>
      <c r="AR5" t="s">
        <v>93</v>
      </c>
      <c r="AS5" t="s">
        <v>74</v>
      </c>
      <c r="AT5" t="s">
        <v>74</v>
      </c>
      <c r="AU5">
        <v>2005</v>
      </c>
      <c r="AV5" t="s">
        <v>74</v>
      </c>
      <c r="AW5" t="s">
        <v>74</v>
      </c>
      <c r="AX5" t="s">
        <v>74</v>
      </c>
      <c r="AY5" t="s">
        <v>74</v>
      </c>
      <c r="AZ5" t="s">
        <v>74</v>
      </c>
      <c r="BA5" t="s">
        <v>74</v>
      </c>
      <c r="BB5">
        <v>219</v>
      </c>
      <c r="BC5">
        <v>222</v>
      </c>
      <c r="BD5" t="s">
        <v>74</v>
      </c>
      <c r="BE5" t="s">
        <v>74</v>
      </c>
      <c r="BF5" t="s">
        <v>74</v>
      </c>
      <c r="BG5" t="s">
        <v>74</v>
      </c>
      <c r="BH5" t="s">
        <v>74</v>
      </c>
      <c r="BI5">
        <v>4</v>
      </c>
      <c r="BJ5" t="s">
        <v>94</v>
      </c>
      <c r="BK5" t="s">
        <v>95</v>
      </c>
      <c r="BL5" t="s">
        <v>96</v>
      </c>
      <c r="BM5" t="s">
        <v>97</v>
      </c>
      <c r="BN5" t="s">
        <v>74</v>
      </c>
      <c r="BO5" t="s">
        <v>74</v>
      </c>
      <c r="BP5" t="s">
        <v>74</v>
      </c>
      <c r="BQ5" t="s">
        <v>74</v>
      </c>
      <c r="BR5" t="s">
        <v>98</v>
      </c>
      <c r="BS5" t="s">
        <v>114</v>
      </c>
      <c r="BT5" t="str">
        <f>HYPERLINK("https%3A%2F%2Fwww.webofscience.com%2Fwos%2Fwoscc%2Ffull-record%2FWOS:000228360100025","View Full Record in Web of Science")</f>
        <v>View Full Record in Web of Science</v>
      </c>
    </row>
    <row r="6" spans="1:72" x14ac:dyDescent="0.15">
      <c r="A6" t="s">
        <v>72</v>
      </c>
      <c r="B6" t="s">
        <v>115</v>
      </c>
      <c r="C6" t="s">
        <v>74</v>
      </c>
      <c r="D6" t="s">
        <v>75</v>
      </c>
      <c r="E6" t="s">
        <v>74</v>
      </c>
      <c r="F6" t="s">
        <v>115</v>
      </c>
      <c r="G6" t="s">
        <v>74</v>
      </c>
      <c r="H6" t="s">
        <v>74</v>
      </c>
      <c r="I6" t="s">
        <v>116</v>
      </c>
      <c r="J6" t="s">
        <v>77</v>
      </c>
      <c r="K6" t="s">
        <v>78</v>
      </c>
      <c r="L6" t="s">
        <v>74</v>
      </c>
      <c r="M6" t="s">
        <v>79</v>
      </c>
      <c r="N6" t="s">
        <v>80</v>
      </c>
      <c r="O6" t="s">
        <v>81</v>
      </c>
      <c r="P6" t="s">
        <v>82</v>
      </c>
      <c r="Q6" t="s">
        <v>83</v>
      </c>
      <c r="R6" t="s">
        <v>74</v>
      </c>
      <c r="S6" t="s">
        <v>84</v>
      </c>
      <c r="T6" t="s">
        <v>117</v>
      </c>
      <c r="U6" t="s">
        <v>74</v>
      </c>
      <c r="V6" t="s">
        <v>74</v>
      </c>
      <c r="W6" t="s">
        <v>87</v>
      </c>
      <c r="X6" t="s">
        <v>88</v>
      </c>
      <c r="Y6" t="s">
        <v>74</v>
      </c>
      <c r="Z6" t="s">
        <v>74</v>
      </c>
      <c r="AA6" t="s">
        <v>74</v>
      </c>
      <c r="AB6" t="s">
        <v>74</v>
      </c>
      <c r="AC6" t="s">
        <v>74</v>
      </c>
      <c r="AD6" t="s">
        <v>74</v>
      </c>
      <c r="AE6" t="s">
        <v>74</v>
      </c>
      <c r="AF6" t="s">
        <v>74</v>
      </c>
      <c r="AG6">
        <v>0</v>
      </c>
      <c r="AH6">
        <v>0</v>
      </c>
      <c r="AI6">
        <v>0</v>
      </c>
      <c r="AJ6">
        <v>0</v>
      </c>
      <c r="AK6">
        <v>3</v>
      </c>
      <c r="AL6" t="s">
        <v>89</v>
      </c>
      <c r="AM6" t="s">
        <v>90</v>
      </c>
      <c r="AN6" t="s">
        <v>91</v>
      </c>
      <c r="AO6" t="s">
        <v>92</v>
      </c>
      <c r="AP6" t="s">
        <v>74</v>
      </c>
      <c r="AQ6" t="s">
        <v>74</v>
      </c>
      <c r="AR6" t="s">
        <v>93</v>
      </c>
      <c r="AS6" t="s">
        <v>74</v>
      </c>
      <c r="AT6" t="s">
        <v>74</v>
      </c>
      <c r="AU6">
        <v>2005</v>
      </c>
      <c r="AV6" t="s">
        <v>74</v>
      </c>
      <c r="AW6" t="s">
        <v>74</v>
      </c>
      <c r="AX6" t="s">
        <v>74</v>
      </c>
      <c r="AY6" t="s">
        <v>74</v>
      </c>
      <c r="AZ6" t="s">
        <v>74</v>
      </c>
      <c r="BA6" t="s">
        <v>74</v>
      </c>
      <c r="BB6">
        <v>223</v>
      </c>
      <c r="BC6">
        <v>224</v>
      </c>
      <c r="BD6" t="s">
        <v>74</v>
      </c>
      <c r="BE6" t="s">
        <v>74</v>
      </c>
      <c r="BF6" t="s">
        <v>74</v>
      </c>
      <c r="BG6" t="s">
        <v>74</v>
      </c>
      <c r="BH6" t="s">
        <v>74</v>
      </c>
      <c r="BI6">
        <v>2</v>
      </c>
      <c r="BJ6" t="s">
        <v>94</v>
      </c>
      <c r="BK6" t="s">
        <v>95</v>
      </c>
      <c r="BL6" t="s">
        <v>96</v>
      </c>
      <c r="BM6" t="s">
        <v>97</v>
      </c>
      <c r="BN6" t="s">
        <v>74</v>
      </c>
      <c r="BO6" t="s">
        <v>74</v>
      </c>
      <c r="BP6" t="s">
        <v>74</v>
      </c>
      <c r="BQ6" t="s">
        <v>74</v>
      </c>
      <c r="BR6" t="s">
        <v>98</v>
      </c>
      <c r="BS6" t="s">
        <v>118</v>
      </c>
      <c r="BT6" t="str">
        <f>HYPERLINK("https%3A%2F%2Fwww.webofscience.com%2Fwos%2Fwoscc%2Ffull-record%2FWOS:000228360100026","View Full Record in Web of Science")</f>
        <v>View Full Record in Web of Science</v>
      </c>
    </row>
    <row r="7" spans="1:72" x14ac:dyDescent="0.15">
      <c r="A7" t="s">
        <v>72</v>
      </c>
      <c r="B7" t="s">
        <v>119</v>
      </c>
      <c r="C7" t="s">
        <v>74</v>
      </c>
      <c r="D7" t="s">
        <v>75</v>
      </c>
      <c r="E7" t="s">
        <v>74</v>
      </c>
      <c r="F7" t="s">
        <v>119</v>
      </c>
      <c r="G7" t="s">
        <v>74</v>
      </c>
      <c r="H7" t="s">
        <v>74</v>
      </c>
      <c r="I7" t="s">
        <v>120</v>
      </c>
      <c r="J7" t="s">
        <v>77</v>
      </c>
      <c r="K7" t="s">
        <v>78</v>
      </c>
      <c r="L7" t="s">
        <v>74</v>
      </c>
      <c r="M7" t="s">
        <v>79</v>
      </c>
      <c r="N7" t="s">
        <v>80</v>
      </c>
      <c r="O7" t="s">
        <v>81</v>
      </c>
      <c r="P7" t="s">
        <v>82</v>
      </c>
      <c r="Q7" t="s">
        <v>83</v>
      </c>
      <c r="R7" t="s">
        <v>74</v>
      </c>
      <c r="S7" t="s">
        <v>84</v>
      </c>
      <c r="T7" t="s">
        <v>74</v>
      </c>
      <c r="U7" t="s">
        <v>74</v>
      </c>
      <c r="V7" t="s">
        <v>74</v>
      </c>
      <c r="W7" t="s">
        <v>113</v>
      </c>
      <c r="X7" t="s">
        <v>103</v>
      </c>
      <c r="Y7" t="s">
        <v>74</v>
      </c>
      <c r="Z7" t="s">
        <v>74</v>
      </c>
      <c r="AA7" t="s">
        <v>74</v>
      </c>
      <c r="AB7" t="s">
        <v>74</v>
      </c>
      <c r="AC7" t="s">
        <v>74</v>
      </c>
      <c r="AD7" t="s">
        <v>74</v>
      </c>
      <c r="AE7" t="s">
        <v>74</v>
      </c>
      <c r="AF7" t="s">
        <v>74</v>
      </c>
      <c r="AG7">
        <v>0</v>
      </c>
      <c r="AH7">
        <v>0</v>
      </c>
      <c r="AI7">
        <v>0</v>
      </c>
      <c r="AJ7">
        <v>0</v>
      </c>
      <c r="AK7">
        <v>0</v>
      </c>
      <c r="AL7" t="s">
        <v>89</v>
      </c>
      <c r="AM7" t="s">
        <v>90</v>
      </c>
      <c r="AN7" t="s">
        <v>91</v>
      </c>
      <c r="AO7" t="s">
        <v>92</v>
      </c>
      <c r="AP7" t="s">
        <v>74</v>
      </c>
      <c r="AQ7" t="s">
        <v>74</v>
      </c>
      <c r="AR7" t="s">
        <v>93</v>
      </c>
      <c r="AS7" t="s">
        <v>74</v>
      </c>
      <c r="AT7" t="s">
        <v>74</v>
      </c>
      <c r="AU7">
        <v>2005</v>
      </c>
      <c r="AV7" t="s">
        <v>74</v>
      </c>
      <c r="AW7" t="s">
        <v>74</v>
      </c>
      <c r="AX7" t="s">
        <v>74</v>
      </c>
      <c r="AY7" t="s">
        <v>74</v>
      </c>
      <c r="AZ7" t="s">
        <v>74</v>
      </c>
      <c r="BA7" t="s">
        <v>74</v>
      </c>
      <c r="BB7">
        <v>227</v>
      </c>
      <c r="BC7">
        <v>227</v>
      </c>
      <c r="BD7" t="s">
        <v>74</v>
      </c>
      <c r="BE7" t="s">
        <v>74</v>
      </c>
      <c r="BF7" t="s">
        <v>74</v>
      </c>
      <c r="BG7" t="s">
        <v>74</v>
      </c>
      <c r="BH7" t="s">
        <v>74</v>
      </c>
      <c r="BI7">
        <v>1</v>
      </c>
      <c r="BJ7" t="s">
        <v>94</v>
      </c>
      <c r="BK7" t="s">
        <v>95</v>
      </c>
      <c r="BL7" t="s">
        <v>96</v>
      </c>
      <c r="BM7" t="s">
        <v>97</v>
      </c>
      <c r="BN7" t="s">
        <v>74</v>
      </c>
      <c r="BO7" t="s">
        <v>74</v>
      </c>
      <c r="BP7" t="s">
        <v>74</v>
      </c>
      <c r="BQ7" t="s">
        <v>74</v>
      </c>
      <c r="BR7" t="s">
        <v>98</v>
      </c>
      <c r="BS7" t="s">
        <v>121</v>
      </c>
      <c r="BT7" t="str">
        <f>HYPERLINK("https%3A%2F%2Fwww.webofscience.com%2Fwos%2Fwoscc%2Ffull-record%2FWOS:000228360100028","View Full Record in Web of Science")</f>
        <v>View Full Record in Web of Science</v>
      </c>
    </row>
    <row r="8" spans="1:72" x14ac:dyDescent="0.15">
      <c r="A8" t="s">
        <v>122</v>
      </c>
      <c r="B8" t="s">
        <v>123</v>
      </c>
      <c r="C8" t="s">
        <v>74</v>
      </c>
      <c r="D8" t="s">
        <v>74</v>
      </c>
      <c r="E8" t="s">
        <v>74</v>
      </c>
      <c r="F8" t="s">
        <v>123</v>
      </c>
      <c r="G8" t="s">
        <v>74</v>
      </c>
      <c r="H8" t="s">
        <v>74</v>
      </c>
      <c r="I8" t="s">
        <v>124</v>
      </c>
      <c r="J8" t="s">
        <v>125</v>
      </c>
      <c r="K8" t="s">
        <v>74</v>
      </c>
      <c r="L8" t="s">
        <v>74</v>
      </c>
      <c r="M8" t="s">
        <v>79</v>
      </c>
      <c r="N8" t="s">
        <v>126</v>
      </c>
      <c r="O8" t="s">
        <v>74</v>
      </c>
      <c r="P8" t="s">
        <v>74</v>
      </c>
      <c r="Q8" t="s">
        <v>74</v>
      </c>
      <c r="R8" t="s">
        <v>74</v>
      </c>
      <c r="S8" t="s">
        <v>74</v>
      </c>
      <c r="T8" t="s">
        <v>74</v>
      </c>
      <c r="U8" t="s">
        <v>127</v>
      </c>
      <c r="V8" t="s">
        <v>128</v>
      </c>
      <c r="W8" t="s">
        <v>108</v>
      </c>
      <c r="X8" t="s">
        <v>103</v>
      </c>
      <c r="Y8" t="s">
        <v>129</v>
      </c>
      <c r="Z8" t="s">
        <v>130</v>
      </c>
      <c r="AA8" t="s">
        <v>74</v>
      </c>
      <c r="AB8" t="s">
        <v>74</v>
      </c>
      <c r="AC8" t="s">
        <v>74</v>
      </c>
      <c r="AD8" t="s">
        <v>74</v>
      </c>
      <c r="AE8" t="s">
        <v>74</v>
      </c>
      <c r="AF8" t="s">
        <v>74</v>
      </c>
      <c r="AG8">
        <v>10</v>
      </c>
      <c r="AH8">
        <v>4</v>
      </c>
      <c r="AI8">
        <v>4</v>
      </c>
      <c r="AJ8">
        <v>0</v>
      </c>
      <c r="AK8">
        <v>13</v>
      </c>
      <c r="AL8" t="s">
        <v>131</v>
      </c>
      <c r="AM8" t="s">
        <v>132</v>
      </c>
      <c r="AN8" t="s">
        <v>133</v>
      </c>
      <c r="AO8" t="s">
        <v>134</v>
      </c>
      <c r="AP8" t="s">
        <v>74</v>
      </c>
      <c r="AQ8" t="s">
        <v>74</v>
      </c>
      <c r="AR8" t="s">
        <v>135</v>
      </c>
      <c r="AS8" t="s">
        <v>136</v>
      </c>
      <c r="AT8" t="s">
        <v>74</v>
      </c>
      <c r="AU8">
        <v>2005</v>
      </c>
      <c r="AV8">
        <v>32</v>
      </c>
      <c r="AW8">
        <v>1</v>
      </c>
      <c r="AX8" t="s">
        <v>74</v>
      </c>
      <c r="AY8" t="s">
        <v>74</v>
      </c>
      <c r="AZ8" t="s">
        <v>74</v>
      </c>
      <c r="BA8" t="s">
        <v>74</v>
      </c>
      <c r="BB8">
        <v>63</v>
      </c>
      <c r="BC8">
        <v>65</v>
      </c>
      <c r="BD8" t="s">
        <v>74</v>
      </c>
      <c r="BE8" t="s">
        <v>137</v>
      </c>
      <c r="BF8" t="str">
        <f>HYPERLINK("http://dx.doi.org/10.1071/WR03090","http://dx.doi.org/10.1071/WR03090")</f>
        <v>http://dx.doi.org/10.1071/WR03090</v>
      </c>
      <c r="BG8" t="s">
        <v>74</v>
      </c>
      <c r="BH8" t="s">
        <v>74</v>
      </c>
      <c r="BI8">
        <v>3</v>
      </c>
      <c r="BJ8" t="s">
        <v>138</v>
      </c>
      <c r="BK8" t="s">
        <v>139</v>
      </c>
      <c r="BL8" t="s">
        <v>140</v>
      </c>
      <c r="BM8" t="s">
        <v>141</v>
      </c>
      <c r="BN8" t="s">
        <v>74</v>
      </c>
      <c r="BO8" t="s">
        <v>74</v>
      </c>
      <c r="BP8" t="s">
        <v>74</v>
      </c>
      <c r="BQ8" t="s">
        <v>74</v>
      </c>
      <c r="BR8" t="s">
        <v>98</v>
      </c>
      <c r="BS8" t="s">
        <v>142</v>
      </c>
      <c r="BT8" t="str">
        <f>HYPERLINK("https%3A%2F%2Fwww.webofscience.com%2Fwos%2Fwoscc%2Ffull-record%2FWOS:000227221300008","View Full Record in Web of Science")</f>
        <v>View Full Record in Web of Science</v>
      </c>
    </row>
    <row r="9" spans="1:72" x14ac:dyDescent="0.15">
      <c r="A9" t="s">
        <v>122</v>
      </c>
      <c r="B9" t="s">
        <v>123</v>
      </c>
      <c r="C9" t="s">
        <v>74</v>
      </c>
      <c r="D9" t="s">
        <v>74</v>
      </c>
      <c r="E9" t="s">
        <v>74</v>
      </c>
      <c r="F9" t="s">
        <v>123</v>
      </c>
      <c r="G9" t="s">
        <v>74</v>
      </c>
      <c r="H9" t="s">
        <v>74</v>
      </c>
      <c r="I9" t="s">
        <v>143</v>
      </c>
      <c r="J9" t="s">
        <v>125</v>
      </c>
      <c r="K9" t="s">
        <v>74</v>
      </c>
      <c r="L9" t="s">
        <v>74</v>
      </c>
      <c r="M9" t="s">
        <v>79</v>
      </c>
      <c r="N9" t="s">
        <v>126</v>
      </c>
      <c r="O9" t="s">
        <v>74</v>
      </c>
      <c r="P9" t="s">
        <v>74</v>
      </c>
      <c r="Q9" t="s">
        <v>74</v>
      </c>
      <c r="R9" t="s">
        <v>74</v>
      </c>
      <c r="S9" t="s">
        <v>74</v>
      </c>
      <c r="T9" t="s">
        <v>74</v>
      </c>
      <c r="U9" t="s">
        <v>144</v>
      </c>
      <c r="V9" t="s">
        <v>145</v>
      </c>
      <c r="W9" t="s">
        <v>108</v>
      </c>
      <c r="X9" t="s">
        <v>103</v>
      </c>
      <c r="Y9" t="s">
        <v>129</v>
      </c>
      <c r="Z9" t="s">
        <v>130</v>
      </c>
      <c r="AA9" t="s">
        <v>74</v>
      </c>
      <c r="AB9" t="s">
        <v>74</v>
      </c>
      <c r="AC9" t="s">
        <v>74</v>
      </c>
      <c r="AD9" t="s">
        <v>74</v>
      </c>
      <c r="AE9" t="s">
        <v>74</v>
      </c>
      <c r="AF9" t="s">
        <v>74</v>
      </c>
      <c r="AG9">
        <v>13</v>
      </c>
      <c r="AH9">
        <v>19</v>
      </c>
      <c r="AI9">
        <v>24</v>
      </c>
      <c r="AJ9">
        <v>0</v>
      </c>
      <c r="AK9">
        <v>8</v>
      </c>
      <c r="AL9" t="s">
        <v>131</v>
      </c>
      <c r="AM9" t="s">
        <v>132</v>
      </c>
      <c r="AN9" t="s">
        <v>133</v>
      </c>
      <c r="AO9" t="s">
        <v>134</v>
      </c>
      <c r="AP9" t="s">
        <v>74</v>
      </c>
      <c r="AQ9" t="s">
        <v>74</v>
      </c>
      <c r="AR9" t="s">
        <v>135</v>
      </c>
      <c r="AS9" t="s">
        <v>136</v>
      </c>
      <c r="AT9" t="s">
        <v>74</v>
      </c>
      <c r="AU9">
        <v>2005</v>
      </c>
      <c r="AV9">
        <v>32</v>
      </c>
      <c r="AW9">
        <v>4</v>
      </c>
      <c r="AX9" t="s">
        <v>74</v>
      </c>
      <c r="AY9" t="s">
        <v>74</v>
      </c>
      <c r="AZ9" t="s">
        <v>74</v>
      </c>
      <c r="BA9" t="s">
        <v>74</v>
      </c>
      <c r="BB9">
        <v>333</v>
      </c>
      <c r="BC9">
        <v>338</v>
      </c>
      <c r="BD9" t="s">
        <v>74</v>
      </c>
      <c r="BE9" t="s">
        <v>146</v>
      </c>
      <c r="BF9" t="str">
        <f>HYPERLINK("http://dx.doi.org/10.1071/WR04085","http://dx.doi.org/10.1071/WR04085")</f>
        <v>http://dx.doi.org/10.1071/WR04085</v>
      </c>
      <c r="BG9" t="s">
        <v>74</v>
      </c>
      <c r="BH9" t="s">
        <v>74</v>
      </c>
      <c r="BI9">
        <v>6</v>
      </c>
      <c r="BJ9" t="s">
        <v>138</v>
      </c>
      <c r="BK9" t="s">
        <v>139</v>
      </c>
      <c r="BL9" t="s">
        <v>140</v>
      </c>
      <c r="BM9" t="s">
        <v>147</v>
      </c>
      <c r="BN9" t="s">
        <v>74</v>
      </c>
      <c r="BO9" t="s">
        <v>74</v>
      </c>
      <c r="BP9" t="s">
        <v>74</v>
      </c>
      <c r="BQ9" t="s">
        <v>74</v>
      </c>
      <c r="BR9" t="s">
        <v>98</v>
      </c>
      <c r="BS9" t="s">
        <v>148</v>
      </c>
      <c r="BT9" t="str">
        <f>HYPERLINK("https%3A%2F%2Fwww.webofscience.com%2Fwos%2Fwoscc%2Ffull-record%2FWOS:000230269500008","View Full Record in Web of Science")</f>
        <v>View Full Record in Web of Science</v>
      </c>
    </row>
    <row r="10" spans="1:72" x14ac:dyDescent="0.15">
      <c r="A10" t="s">
        <v>122</v>
      </c>
      <c r="B10" t="s">
        <v>149</v>
      </c>
      <c r="C10" t="s">
        <v>74</v>
      </c>
      <c r="D10" t="s">
        <v>74</v>
      </c>
      <c r="E10" t="s">
        <v>74</v>
      </c>
      <c r="F10" t="s">
        <v>149</v>
      </c>
      <c r="G10" t="s">
        <v>74</v>
      </c>
      <c r="H10" t="s">
        <v>74</v>
      </c>
      <c r="I10" t="s">
        <v>150</v>
      </c>
      <c r="J10" t="s">
        <v>125</v>
      </c>
      <c r="K10" t="s">
        <v>74</v>
      </c>
      <c r="L10" t="s">
        <v>74</v>
      </c>
      <c r="M10" t="s">
        <v>79</v>
      </c>
      <c r="N10" t="s">
        <v>126</v>
      </c>
      <c r="O10" t="s">
        <v>74</v>
      </c>
      <c r="P10" t="s">
        <v>74</v>
      </c>
      <c r="Q10" t="s">
        <v>74</v>
      </c>
      <c r="R10" t="s">
        <v>74</v>
      </c>
      <c r="S10" t="s">
        <v>74</v>
      </c>
      <c r="T10" t="s">
        <v>74</v>
      </c>
      <c r="U10" t="s">
        <v>151</v>
      </c>
      <c r="V10" t="s">
        <v>152</v>
      </c>
      <c r="W10" t="s">
        <v>153</v>
      </c>
      <c r="X10" t="s">
        <v>154</v>
      </c>
      <c r="Y10" t="s">
        <v>155</v>
      </c>
      <c r="Z10" t="s">
        <v>156</v>
      </c>
      <c r="AA10" t="s">
        <v>157</v>
      </c>
      <c r="AB10" t="s">
        <v>158</v>
      </c>
      <c r="AC10" t="s">
        <v>74</v>
      </c>
      <c r="AD10" t="s">
        <v>74</v>
      </c>
      <c r="AE10" t="s">
        <v>74</v>
      </c>
      <c r="AF10" t="s">
        <v>74</v>
      </c>
      <c r="AG10">
        <v>62</v>
      </c>
      <c r="AH10">
        <v>24</v>
      </c>
      <c r="AI10">
        <v>26</v>
      </c>
      <c r="AJ10">
        <v>2</v>
      </c>
      <c r="AK10">
        <v>30</v>
      </c>
      <c r="AL10" t="s">
        <v>131</v>
      </c>
      <c r="AM10" t="s">
        <v>132</v>
      </c>
      <c r="AN10" t="s">
        <v>133</v>
      </c>
      <c r="AO10" t="s">
        <v>134</v>
      </c>
      <c r="AP10" t="s">
        <v>74</v>
      </c>
      <c r="AQ10" t="s">
        <v>74</v>
      </c>
      <c r="AR10" t="s">
        <v>135</v>
      </c>
      <c r="AS10" t="s">
        <v>136</v>
      </c>
      <c r="AT10" t="s">
        <v>74</v>
      </c>
      <c r="AU10">
        <v>2005</v>
      </c>
      <c r="AV10">
        <v>32</v>
      </c>
      <c r="AW10">
        <v>6</v>
      </c>
      <c r="AX10" t="s">
        <v>74</v>
      </c>
      <c r="AY10" t="s">
        <v>74</v>
      </c>
      <c r="AZ10" t="s">
        <v>74</v>
      </c>
      <c r="BA10" t="s">
        <v>74</v>
      </c>
      <c r="BB10">
        <v>489</v>
      </c>
      <c r="BC10">
        <v>501</v>
      </c>
      <c r="BD10" t="s">
        <v>74</v>
      </c>
      <c r="BE10" t="s">
        <v>159</v>
      </c>
      <c r="BF10" t="str">
        <f>HYPERLINK("http://dx.doi.org/10.1071/WR04102","http://dx.doi.org/10.1071/WR04102")</f>
        <v>http://dx.doi.org/10.1071/WR04102</v>
      </c>
      <c r="BG10" t="s">
        <v>74</v>
      </c>
      <c r="BH10" t="s">
        <v>74</v>
      </c>
      <c r="BI10">
        <v>13</v>
      </c>
      <c r="BJ10" t="s">
        <v>138</v>
      </c>
      <c r="BK10" t="s">
        <v>139</v>
      </c>
      <c r="BL10" t="s">
        <v>140</v>
      </c>
      <c r="BM10" t="s">
        <v>160</v>
      </c>
      <c r="BN10" t="s">
        <v>74</v>
      </c>
      <c r="BO10" t="s">
        <v>74</v>
      </c>
      <c r="BP10" t="s">
        <v>74</v>
      </c>
      <c r="BQ10" t="s">
        <v>74</v>
      </c>
      <c r="BR10" t="s">
        <v>98</v>
      </c>
      <c r="BS10" t="s">
        <v>161</v>
      </c>
      <c r="BT10" t="str">
        <f>HYPERLINK("https%3A%2F%2Fwww.webofscience.com%2Fwos%2Fwoscc%2Ffull-record%2FWOS:000232653600002","View Full Record in Web of Science")</f>
        <v>View Full Record in Web of Science</v>
      </c>
    </row>
    <row r="11" spans="1:72" x14ac:dyDescent="0.15">
      <c r="A11" t="s">
        <v>122</v>
      </c>
      <c r="B11" t="s">
        <v>162</v>
      </c>
      <c r="C11" t="s">
        <v>74</v>
      </c>
      <c r="D11" t="s">
        <v>74</v>
      </c>
      <c r="E11" t="s">
        <v>74</v>
      </c>
      <c r="F11" t="s">
        <v>163</v>
      </c>
      <c r="G11" t="s">
        <v>74</v>
      </c>
      <c r="H11" t="s">
        <v>74</v>
      </c>
      <c r="I11" t="s">
        <v>164</v>
      </c>
      <c r="J11" t="s">
        <v>165</v>
      </c>
      <c r="K11" t="s">
        <v>74</v>
      </c>
      <c r="L11" t="s">
        <v>74</v>
      </c>
      <c r="M11" t="s">
        <v>166</v>
      </c>
      <c r="N11" t="s">
        <v>126</v>
      </c>
      <c r="O11" t="s">
        <v>74</v>
      </c>
      <c r="P11" t="s">
        <v>74</v>
      </c>
      <c r="Q11" t="s">
        <v>74</v>
      </c>
      <c r="R11" t="s">
        <v>74</v>
      </c>
      <c r="S11" t="s">
        <v>74</v>
      </c>
      <c r="T11" t="s">
        <v>74</v>
      </c>
      <c r="U11" t="s">
        <v>74</v>
      </c>
      <c r="V11" t="s">
        <v>74</v>
      </c>
      <c r="W11" t="s">
        <v>167</v>
      </c>
      <c r="X11" t="s">
        <v>168</v>
      </c>
      <c r="Y11" t="s">
        <v>169</v>
      </c>
      <c r="Z11" t="s">
        <v>74</v>
      </c>
      <c r="AA11" t="s">
        <v>170</v>
      </c>
      <c r="AB11" t="s">
        <v>171</v>
      </c>
      <c r="AC11" t="s">
        <v>74</v>
      </c>
      <c r="AD11" t="s">
        <v>74</v>
      </c>
      <c r="AE11" t="s">
        <v>74</v>
      </c>
      <c r="AF11" t="s">
        <v>74</v>
      </c>
      <c r="AG11">
        <v>0</v>
      </c>
      <c r="AH11">
        <v>0</v>
      </c>
      <c r="AI11">
        <v>0</v>
      </c>
      <c r="AJ11">
        <v>0</v>
      </c>
      <c r="AK11">
        <v>0</v>
      </c>
      <c r="AL11" t="s">
        <v>172</v>
      </c>
      <c r="AM11" t="s">
        <v>173</v>
      </c>
      <c r="AN11" t="s">
        <v>174</v>
      </c>
      <c r="AO11" t="s">
        <v>175</v>
      </c>
      <c r="AP11" t="s">
        <v>176</v>
      </c>
      <c r="AQ11" t="s">
        <v>74</v>
      </c>
      <c r="AR11" t="s">
        <v>177</v>
      </c>
      <c r="AS11" t="s">
        <v>178</v>
      </c>
      <c r="AT11" t="s">
        <v>74</v>
      </c>
      <c r="AU11">
        <v>2005</v>
      </c>
      <c r="AV11" t="s">
        <v>74</v>
      </c>
      <c r="AW11">
        <v>4</v>
      </c>
      <c r="AX11" t="s">
        <v>74</v>
      </c>
      <c r="AY11" t="s">
        <v>74</v>
      </c>
      <c r="AZ11" t="s">
        <v>74</v>
      </c>
      <c r="BA11" t="s">
        <v>74</v>
      </c>
      <c r="BB11">
        <v>56</v>
      </c>
      <c r="BC11">
        <v>59</v>
      </c>
      <c r="BD11" t="s">
        <v>74</v>
      </c>
      <c r="BE11" t="s">
        <v>74</v>
      </c>
      <c r="BF11" t="s">
        <v>74</v>
      </c>
      <c r="BG11" t="s">
        <v>74</v>
      </c>
      <c r="BH11" t="s">
        <v>74</v>
      </c>
      <c r="BI11">
        <v>4</v>
      </c>
      <c r="BJ11" t="s">
        <v>179</v>
      </c>
      <c r="BK11" t="s">
        <v>180</v>
      </c>
      <c r="BL11" t="s">
        <v>181</v>
      </c>
      <c r="BM11" t="s">
        <v>182</v>
      </c>
      <c r="BN11" t="s">
        <v>74</v>
      </c>
      <c r="BO11" t="s">
        <v>74</v>
      </c>
      <c r="BP11" t="s">
        <v>74</v>
      </c>
      <c r="BQ11" t="s">
        <v>74</v>
      </c>
      <c r="BR11" t="s">
        <v>98</v>
      </c>
      <c r="BS11" t="s">
        <v>183</v>
      </c>
      <c r="BT11" t="str">
        <f>HYPERLINK("https%3A%2F%2Fwww.webofscience.com%2Fwos%2Fwoscc%2Ffull-record%2FWOS:000443715500020","View Full Record in Web of Science")</f>
        <v>View Full Record in Web of Science</v>
      </c>
    </row>
    <row r="12" spans="1:72" x14ac:dyDescent="0.15">
      <c r="A12" t="s">
        <v>122</v>
      </c>
      <c r="B12" t="s">
        <v>184</v>
      </c>
      <c r="C12" t="s">
        <v>74</v>
      </c>
      <c r="D12" t="s">
        <v>74</v>
      </c>
      <c r="E12" t="s">
        <v>74</v>
      </c>
      <c r="F12" t="s">
        <v>184</v>
      </c>
      <c r="G12" t="s">
        <v>74</v>
      </c>
      <c r="H12" t="s">
        <v>74</v>
      </c>
      <c r="I12" t="s">
        <v>185</v>
      </c>
      <c r="J12" t="s">
        <v>186</v>
      </c>
      <c r="K12" t="s">
        <v>74</v>
      </c>
      <c r="L12" t="s">
        <v>74</v>
      </c>
      <c r="M12" t="s">
        <v>79</v>
      </c>
      <c r="N12" t="s">
        <v>126</v>
      </c>
      <c r="O12" t="s">
        <v>74</v>
      </c>
      <c r="P12" t="s">
        <v>74</v>
      </c>
      <c r="Q12" t="s">
        <v>74</v>
      </c>
      <c r="R12" t="s">
        <v>74</v>
      </c>
      <c r="S12" t="s">
        <v>74</v>
      </c>
      <c r="T12" t="s">
        <v>187</v>
      </c>
      <c r="U12" t="s">
        <v>188</v>
      </c>
      <c r="V12" t="s">
        <v>189</v>
      </c>
      <c r="W12" t="s">
        <v>190</v>
      </c>
      <c r="X12" t="s">
        <v>191</v>
      </c>
      <c r="Y12" t="s">
        <v>192</v>
      </c>
      <c r="Z12" t="s">
        <v>193</v>
      </c>
      <c r="AA12" t="s">
        <v>194</v>
      </c>
      <c r="AB12" t="s">
        <v>195</v>
      </c>
      <c r="AC12" t="s">
        <v>74</v>
      </c>
      <c r="AD12" t="s">
        <v>74</v>
      </c>
      <c r="AE12" t="s">
        <v>74</v>
      </c>
      <c r="AF12" t="s">
        <v>74</v>
      </c>
      <c r="AG12">
        <v>29</v>
      </c>
      <c r="AH12">
        <v>44</v>
      </c>
      <c r="AI12">
        <v>51</v>
      </c>
      <c r="AJ12">
        <v>0</v>
      </c>
      <c r="AK12">
        <v>8</v>
      </c>
      <c r="AL12" t="s">
        <v>196</v>
      </c>
      <c r="AM12" t="s">
        <v>197</v>
      </c>
      <c r="AN12" t="s">
        <v>198</v>
      </c>
      <c r="AO12" t="s">
        <v>199</v>
      </c>
      <c r="AP12" t="s">
        <v>200</v>
      </c>
      <c r="AQ12" t="s">
        <v>74</v>
      </c>
      <c r="AR12" t="s">
        <v>201</v>
      </c>
      <c r="AS12" t="s">
        <v>202</v>
      </c>
      <c r="AT12" t="s">
        <v>203</v>
      </c>
      <c r="AU12">
        <v>2005</v>
      </c>
      <c r="AV12">
        <v>143</v>
      </c>
      <c r="AW12">
        <v>1</v>
      </c>
      <c r="AX12" t="s">
        <v>74</v>
      </c>
      <c r="AY12" t="s">
        <v>74</v>
      </c>
      <c r="AZ12" t="s">
        <v>74</v>
      </c>
      <c r="BA12" t="s">
        <v>74</v>
      </c>
      <c r="BB12">
        <v>75</v>
      </c>
      <c r="BC12">
        <v>108</v>
      </c>
      <c r="BD12" t="s">
        <v>74</v>
      </c>
      <c r="BE12" t="s">
        <v>204</v>
      </c>
      <c r="BF12" t="str">
        <f>HYPERLINK("http://dx.doi.org/10.1111/j.1096-3642.2004.00146.x","http://dx.doi.org/10.1111/j.1096-3642.2004.00146.x")</f>
        <v>http://dx.doi.org/10.1111/j.1096-3642.2004.00146.x</v>
      </c>
      <c r="BG12" t="s">
        <v>74</v>
      </c>
      <c r="BH12" t="s">
        <v>74</v>
      </c>
      <c r="BI12">
        <v>34</v>
      </c>
      <c r="BJ12" t="s">
        <v>205</v>
      </c>
      <c r="BK12" t="s">
        <v>139</v>
      </c>
      <c r="BL12" t="s">
        <v>205</v>
      </c>
      <c r="BM12" t="s">
        <v>206</v>
      </c>
      <c r="BN12" t="s">
        <v>74</v>
      </c>
      <c r="BO12" t="s">
        <v>207</v>
      </c>
      <c r="BP12" t="s">
        <v>74</v>
      </c>
      <c r="BQ12" t="s">
        <v>74</v>
      </c>
      <c r="BR12" t="s">
        <v>98</v>
      </c>
      <c r="BS12" t="s">
        <v>208</v>
      </c>
      <c r="BT12" t="str">
        <f>HYPERLINK("https%3A%2F%2Fwww.webofscience.com%2Fwos%2Fwoscc%2Ffull-record%2FWOS:000226742700003","View Full Record in Web of Science")</f>
        <v>View Full Record in Web of Science</v>
      </c>
    </row>
    <row r="13" spans="1:72" x14ac:dyDescent="0.15">
      <c r="A13" t="s">
        <v>122</v>
      </c>
      <c r="B13" t="s">
        <v>209</v>
      </c>
      <c r="C13" t="s">
        <v>74</v>
      </c>
      <c r="D13" t="s">
        <v>74</v>
      </c>
      <c r="E13" t="s">
        <v>74</v>
      </c>
      <c r="F13" t="s">
        <v>209</v>
      </c>
      <c r="G13" t="s">
        <v>74</v>
      </c>
      <c r="H13" t="s">
        <v>74</v>
      </c>
      <c r="I13" t="s">
        <v>210</v>
      </c>
      <c r="J13" t="s">
        <v>211</v>
      </c>
      <c r="K13" t="s">
        <v>74</v>
      </c>
      <c r="L13" t="s">
        <v>74</v>
      </c>
      <c r="M13" t="s">
        <v>79</v>
      </c>
      <c r="N13" t="s">
        <v>126</v>
      </c>
      <c r="O13" t="s">
        <v>74</v>
      </c>
      <c r="P13" t="s">
        <v>74</v>
      </c>
      <c r="Q13" t="s">
        <v>74</v>
      </c>
      <c r="R13" t="s">
        <v>74</v>
      </c>
      <c r="S13" t="s">
        <v>74</v>
      </c>
      <c r="T13" t="s">
        <v>212</v>
      </c>
      <c r="U13" t="s">
        <v>74</v>
      </c>
      <c r="V13" t="s">
        <v>213</v>
      </c>
      <c r="W13" t="s">
        <v>214</v>
      </c>
      <c r="X13" t="s">
        <v>215</v>
      </c>
      <c r="Y13" t="s">
        <v>216</v>
      </c>
      <c r="Z13" t="s">
        <v>217</v>
      </c>
      <c r="AA13" t="s">
        <v>218</v>
      </c>
      <c r="AB13" t="s">
        <v>219</v>
      </c>
      <c r="AC13" t="s">
        <v>74</v>
      </c>
      <c r="AD13" t="s">
        <v>74</v>
      </c>
      <c r="AE13" t="s">
        <v>74</v>
      </c>
      <c r="AF13" t="s">
        <v>74</v>
      </c>
      <c r="AG13">
        <v>27</v>
      </c>
      <c r="AH13">
        <v>75</v>
      </c>
      <c r="AI13">
        <v>81</v>
      </c>
      <c r="AJ13">
        <v>0</v>
      </c>
      <c r="AK13">
        <v>56</v>
      </c>
      <c r="AL13" t="s">
        <v>220</v>
      </c>
      <c r="AM13" t="s">
        <v>221</v>
      </c>
      <c r="AN13" t="s">
        <v>222</v>
      </c>
      <c r="AO13" t="s">
        <v>223</v>
      </c>
      <c r="AP13" t="s">
        <v>224</v>
      </c>
      <c r="AQ13" t="s">
        <v>74</v>
      </c>
      <c r="AR13" t="s">
        <v>211</v>
      </c>
      <c r="AS13" t="s">
        <v>225</v>
      </c>
      <c r="AT13" t="s">
        <v>74</v>
      </c>
      <c r="AU13">
        <v>2005</v>
      </c>
      <c r="AV13">
        <v>27</v>
      </c>
      <c r="AW13">
        <v>4</v>
      </c>
      <c r="AX13" t="s">
        <v>74</v>
      </c>
      <c r="AY13" t="s">
        <v>74</v>
      </c>
      <c r="AZ13" t="s">
        <v>74</v>
      </c>
      <c r="BA13" t="s">
        <v>74</v>
      </c>
      <c r="BB13">
        <v>709</v>
      </c>
      <c r="BC13">
        <v>723</v>
      </c>
      <c r="BD13" t="s">
        <v>74</v>
      </c>
      <c r="BE13" t="s">
        <v>74</v>
      </c>
      <c r="BF13" t="s">
        <v>74</v>
      </c>
      <c r="BG13" t="s">
        <v>74</v>
      </c>
      <c r="BH13" t="s">
        <v>74</v>
      </c>
      <c r="BI13">
        <v>15</v>
      </c>
      <c r="BJ13" t="s">
        <v>205</v>
      </c>
      <c r="BK13" t="s">
        <v>139</v>
      </c>
      <c r="BL13" t="s">
        <v>205</v>
      </c>
      <c r="BM13" t="s">
        <v>226</v>
      </c>
      <c r="BN13" t="s">
        <v>74</v>
      </c>
      <c r="BO13" t="s">
        <v>74</v>
      </c>
      <c r="BP13" t="s">
        <v>74</v>
      </c>
      <c r="BQ13" t="s">
        <v>74</v>
      </c>
      <c r="BR13" t="s">
        <v>98</v>
      </c>
      <c r="BS13" t="s">
        <v>227</v>
      </c>
      <c r="BT13" t="str">
        <f>HYPERLINK("https%3A%2F%2Fwww.webofscience.com%2Fwos%2Fwoscc%2Ffull-record%2FWOS:000235050500003","View Full Record in Web of Science")</f>
        <v>View Full Record in Web of Science</v>
      </c>
    </row>
    <row r="14" spans="1:72" x14ac:dyDescent="0.15">
      <c r="A14" t="s">
        <v>122</v>
      </c>
      <c r="B14" t="s">
        <v>228</v>
      </c>
      <c r="C14" t="s">
        <v>74</v>
      </c>
      <c r="D14" t="s">
        <v>74</v>
      </c>
      <c r="E14" t="s">
        <v>74</v>
      </c>
      <c r="F14" t="s">
        <v>228</v>
      </c>
      <c r="G14" t="s">
        <v>74</v>
      </c>
      <c r="H14" t="s">
        <v>74</v>
      </c>
      <c r="I14" t="s">
        <v>229</v>
      </c>
      <c r="J14" t="s">
        <v>230</v>
      </c>
      <c r="K14" t="s">
        <v>74</v>
      </c>
      <c r="L14" t="s">
        <v>74</v>
      </c>
      <c r="M14" t="s">
        <v>79</v>
      </c>
      <c r="N14" t="s">
        <v>126</v>
      </c>
      <c r="O14" t="s">
        <v>74</v>
      </c>
      <c r="P14" t="s">
        <v>74</v>
      </c>
      <c r="Q14" t="s">
        <v>74</v>
      </c>
      <c r="R14" t="s">
        <v>74</v>
      </c>
      <c r="S14" t="s">
        <v>74</v>
      </c>
      <c r="T14" t="s">
        <v>74</v>
      </c>
      <c r="U14" t="s">
        <v>231</v>
      </c>
      <c r="V14" t="s">
        <v>232</v>
      </c>
      <c r="W14" t="s">
        <v>233</v>
      </c>
      <c r="X14" t="s">
        <v>234</v>
      </c>
      <c r="Y14" t="s">
        <v>235</v>
      </c>
      <c r="Z14" t="s">
        <v>236</v>
      </c>
      <c r="AA14" t="s">
        <v>237</v>
      </c>
      <c r="AB14" t="s">
        <v>238</v>
      </c>
      <c r="AC14" t="s">
        <v>74</v>
      </c>
      <c r="AD14" t="s">
        <v>74</v>
      </c>
      <c r="AE14" t="s">
        <v>74</v>
      </c>
      <c r="AF14" t="s">
        <v>74</v>
      </c>
      <c r="AG14">
        <v>21</v>
      </c>
      <c r="AH14">
        <v>51</v>
      </c>
      <c r="AI14">
        <v>56</v>
      </c>
      <c r="AJ14">
        <v>2</v>
      </c>
      <c r="AK14">
        <v>17</v>
      </c>
      <c r="AL14" t="s">
        <v>239</v>
      </c>
      <c r="AM14" t="s">
        <v>240</v>
      </c>
      <c r="AN14" t="s">
        <v>241</v>
      </c>
      <c r="AO14" t="s">
        <v>242</v>
      </c>
      <c r="AP14" t="s">
        <v>74</v>
      </c>
      <c r="AQ14" t="s">
        <v>74</v>
      </c>
      <c r="AR14" t="s">
        <v>243</v>
      </c>
      <c r="AS14" t="s">
        <v>244</v>
      </c>
      <c r="AT14" t="s">
        <v>245</v>
      </c>
      <c r="AU14">
        <v>2004</v>
      </c>
      <c r="AV14">
        <v>31</v>
      </c>
      <c r="AW14">
        <v>24</v>
      </c>
      <c r="AX14" t="s">
        <v>74</v>
      </c>
      <c r="AY14" t="s">
        <v>74</v>
      </c>
      <c r="AZ14" t="s">
        <v>74</v>
      </c>
      <c r="BA14" t="s">
        <v>74</v>
      </c>
      <c r="BB14" t="s">
        <v>74</v>
      </c>
      <c r="BC14" t="s">
        <v>74</v>
      </c>
      <c r="BD14" t="s">
        <v>246</v>
      </c>
      <c r="BE14" t="s">
        <v>247</v>
      </c>
      <c r="BF14" t="str">
        <f>HYPERLINK("http://dx.doi.org/10.1029/2004GL021666","http://dx.doi.org/10.1029/2004GL021666")</f>
        <v>http://dx.doi.org/10.1029/2004GL021666</v>
      </c>
      <c r="BG14" t="s">
        <v>74</v>
      </c>
      <c r="BH14" t="s">
        <v>74</v>
      </c>
      <c r="BI14">
        <v>5</v>
      </c>
      <c r="BJ14" t="s">
        <v>248</v>
      </c>
      <c r="BK14" t="s">
        <v>139</v>
      </c>
      <c r="BL14" t="s">
        <v>249</v>
      </c>
      <c r="BM14" t="s">
        <v>250</v>
      </c>
      <c r="BN14" t="s">
        <v>74</v>
      </c>
      <c r="BO14" t="s">
        <v>251</v>
      </c>
      <c r="BP14" t="s">
        <v>74</v>
      </c>
      <c r="BQ14" t="s">
        <v>74</v>
      </c>
      <c r="BR14" t="s">
        <v>98</v>
      </c>
      <c r="BS14" t="s">
        <v>252</v>
      </c>
      <c r="BT14" t="str">
        <f>HYPERLINK("https%3A%2F%2Fwww.webofscience.com%2Fwos%2Fwoscc%2Ffull-record%2FWOS:000226133300007","View Full Record in Web of Science")</f>
        <v>View Full Record in Web of Science</v>
      </c>
    </row>
    <row r="15" spans="1:72" x14ac:dyDescent="0.15">
      <c r="A15" t="s">
        <v>122</v>
      </c>
      <c r="B15" t="s">
        <v>253</v>
      </c>
      <c r="C15" t="s">
        <v>74</v>
      </c>
      <c r="D15" t="s">
        <v>74</v>
      </c>
      <c r="E15" t="s">
        <v>74</v>
      </c>
      <c r="F15" t="s">
        <v>253</v>
      </c>
      <c r="G15" t="s">
        <v>74</v>
      </c>
      <c r="H15" t="s">
        <v>74</v>
      </c>
      <c r="I15" t="s">
        <v>254</v>
      </c>
      <c r="J15" t="s">
        <v>255</v>
      </c>
      <c r="K15" t="s">
        <v>74</v>
      </c>
      <c r="L15" t="s">
        <v>74</v>
      </c>
      <c r="M15" t="s">
        <v>79</v>
      </c>
      <c r="N15" t="s">
        <v>126</v>
      </c>
      <c r="O15" t="s">
        <v>74</v>
      </c>
      <c r="P15" t="s">
        <v>74</v>
      </c>
      <c r="Q15" t="s">
        <v>74</v>
      </c>
      <c r="R15" t="s">
        <v>74</v>
      </c>
      <c r="S15" t="s">
        <v>74</v>
      </c>
      <c r="T15" t="s">
        <v>256</v>
      </c>
      <c r="U15" t="s">
        <v>257</v>
      </c>
      <c r="V15" t="s">
        <v>258</v>
      </c>
      <c r="W15" t="s">
        <v>259</v>
      </c>
      <c r="X15" t="s">
        <v>260</v>
      </c>
      <c r="Y15" t="s">
        <v>261</v>
      </c>
      <c r="Z15" t="s">
        <v>262</v>
      </c>
      <c r="AA15" t="s">
        <v>263</v>
      </c>
      <c r="AB15" t="s">
        <v>264</v>
      </c>
      <c r="AC15" t="s">
        <v>74</v>
      </c>
      <c r="AD15" t="s">
        <v>74</v>
      </c>
      <c r="AE15" t="s">
        <v>74</v>
      </c>
      <c r="AF15" t="s">
        <v>74</v>
      </c>
      <c r="AG15">
        <v>72</v>
      </c>
      <c r="AH15">
        <v>74</v>
      </c>
      <c r="AI15">
        <v>84</v>
      </c>
      <c r="AJ15">
        <v>0</v>
      </c>
      <c r="AK15">
        <v>13</v>
      </c>
      <c r="AL15" t="s">
        <v>239</v>
      </c>
      <c r="AM15" t="s">
        <v>240</v>
      </c>
      <c r="AN15" t="s">
        <v>241</v>
      </c>
      <c r="AO15" t="s">
        <v>265</v>
      </c>
      <c r="AP15" t="s">
        <v>74</v>
      </c>
      <c r="AQ15" t="s">
        <v>74</v>
      </c>
      <c r="AR15" t="s">
        <v>266</v>
      </c>
      <c r="AS15" t="s">
        <v>267</v>
      </c>
      <c r="AT15" t="s">
        <v>268</v>
      </c>
      <c r="AU15">
        <v>2004</v>
      </c>
      <c r="AV15">
        <v>5</v>
      </c>
      <c r="AW15" t="s">
        <v>74</v>
      </c>
      <c r="AX15" t="s">
        <v>74</v>
      </c>
      <c r="AY15" t="s">
        <v>74</v>
      </c>
      <c r="AZ15" t="s">
        <v>74</v>
      </c>
      <c r="BA15" t="s">
        <v>74</v>
      </c>
      <c r="BB15" t="s">
        <v>74</v>
      </c>
      <c r="BC15" t="s">
        <v>74</v>
      </c>
      <c r="BD15" t="s">
        <v>269</v>
      </c>
      <c r="BE15" t="s">
        <v>270</v>
      </c>
      <c r="BF15" t="str">
        <f>HYPERLINK("http://dx.doi.org/10.1029/2004GC000793","http://dx.doi.org/10.1029/2004GC000793")</f>
        <v>http://dx.doi.org/10.1029/2004GC000793</v>
      </c>
      <c r="BG15" t="s">
        <v>74</v>
      </c>
      <c r="BH15" t="s">
        <v>74</v>
      </c>
      <c r="BI15">
        <v>22</v>
      </c>
      <c r="BJ15" t="s">
        <v>271</v>
      </c>
      <c r="BK15" t="s">
        <v>139</v>
      </c>
      <c r="BL15" t="s">
        <v>271</v>
      </c>
      <c r="BM15" t="s">
        <v>272</v>
      </c>
      <c r="BN15" t="s">
        <v>74</v>
      </c>
      <c r="BO15" t="s">
        <v>273</v>
      </c>
      <c r="BP15" t="s">
        <v>74</v>
      </c>
      <c r="BQ15" t="s">
        <v>74</v>
      </c>
      <c r="BR15" t="s">
        <v>98</v>
      </c>
      <c r="BS15" t="s">
        <v>274</v>
      </c>
      <c r="BT15" t="str">
        <f>HYPERLINK("https%3A%2F%2Fwww.webofscience.com%2Fwos%2Fwoscc%2Ffull-record%2FWOS:000226132500003","View Full Record in Web of Science")</f>
        <v>View Full Record in Web of Science</v>
      </c>
    </row>
    <row r="16" spans="1:72" x14ac:dyDescent="0.15">
      <c r="A16" t="s">
        <v>122</v>
      </c>
      <c r="B16" t="s">
        <v>275</v>
      </c>
      <c r="C16" t="s">
        <v>74</v>
      </c>
      <c r="D16" t="s">
        <v>74</v>
      </c>
      <c r="E16" t="s">
        <v>74</v>
      </c>
      <c r="F16" t="s">
        <v>275</v>
      </c>
      <c r="G16" t="s">
        <v>74</v>
      </c>
      <c r="H16" t="s">
        <v>74</v>
      </c>
      <c r="I16" t="s">
        <v>276</v>
      </c>
      <c r="J16" t="s">
        <v>277</v>
      </c>
      <c r="K16" t="s">
        <v>74</v>
      </c>
      <c r="L16" t="s">
        <v>74</v>
      </c>
      <c r="M16" t="s">
        <v>79</v>
      </c>
      <c r="N16" t="s">
        <v>126</v>
      </c>
      <c r="O16" t="s">
        <v>74</v>
      </c>
      <c r="P16" t="s">
        <v>74</v>
      </c>
      <c r="Q16" t="s">
        <v>74</v>
      </c>
      <c r="R16" t="s">
        <v>74</v>
      </c>
      <c r="S16" t="s">
        <v>74</v>
      </c>
      <c r="T16" t="s">
        <v>278</v>
      </c>
      <c r="U16" t="s">
        <v>279</v>
      </c>
      <c r="V16" t="s">
        <v>280</v>
      </c>
      <c r="W16" t="s">
        <v>281</v>
      </c>
      <c r="X16" t="s">
        <v>282</v>
      </c>
      <c r="Y16" t="s">
        <v>74</v>
      </c>
      <c r="Z16" t="s">
        <v>283</v>
      </c>
      <c r="AA16" t="s">
        <v>74</v>
      </c>
      <c r="AB16" t="s">
        <v>74</v>
      </c>
      <c r="AC16" t="s">
        <v>74</v>
      </c>
      <c r="AD16" t="s">
        <v>74</v>
      </c>
      <c r="AE16" t="s">
        <v>74</v>
      </c>
      <c r="AF16" t="s">
        <v>74</v>
      </c>
      <c r="AG16">
        <v>29</v>
      </c>
      <c r="AH16">
        <v>29</v>
      </c>
      <c r="AI16">
        <v>32</v>
      </c>
      <c r="AJ16">
        <v>0</v>
      </c>
      <c r="AK16">
        <v>3</v>
      </c>
      <c r="AL16" t="s">
        <v>239</v>
      </c>
      <c r="AM16" t="s">
        <v>240</v>
      </c>
      <c r="AN16" t="s">
        <v>241</v>
      </c>
      <c r="AO16" t="s">
        <v>284</v>
      </c>
      <c r="AP16" t="s">
        <v>285</v>
      </c>
      <c r="AQ16" t="s">
        <v>74</v>
      </c>
      <c r="AR16" t="s">
        <v>286</v>
      </c>
      <c r="AS16" t="s">
        <v>287</v>
      </c>
      <c r="AT16" t="s">
        <v>268</v>
      </c>
      <c r="AU16">
        <v>2004</v>
      </c>
      <c r="AV16">
        <v>109</v>
      </c>
      <c r="AW16" t="s">
        <v>288</v>
      </c>
      <c r="AX16" t="s">
        <v>74</v>
      </c>
      <c r="AY16" t="s">
        <v>74</v>
      </c>
      <c r="AZ16" t="s">
        <v>74</v>
      </c>
      <c r="BA16" t="s">
        <v>74</v>
      </c>
      <c r="BB16" t="s">
        <v>74</v>
      </c>
      <c r="BC16" t="s">
        <v>74</v>
      </c>
      <c r="BD16" t="s">
        <v>289</v>
      </c>
      <c r="BE16" t="s">
        <v>290</v>
      </c>
      <c r="BF16" t="str">
        <f>HYPERLINK("http://dx.doi.org/10.1029/2004JD005133","http://dx.doi.org/10.1029/2004JD005133")</f>
        <v>http://dx.doi.org/10.1029/2004JD005133</v>
      </c>
      <c r="BG16" t="s">
        <v>74</v>
      </c>
      <c r="BH16" t="s">
        <v>74</v>
      </c>
      <c r="BI16">
        <v>13</v>
      </c>
      <c r="BJ16" t="s">
        <v>291</v>
      </c>
      <c r="BK16" t="s">
        <v>139</v>
      </c>
      <c r="BL16" t="s">
        <v>291</v>
      </c>
      <c r="BM16" t="s">
        <v>292</v>
      </c>
      <c r="BN16" t="s">
        <v>74</v>
      </c>
      <c r="BO16" t="s">
        <v>273</v>
      </c>
      <c r="BP16" t="s">
        <v>74</v>
      </c>
      <c r="BQ16" t="s">
        <v>74</v>
      </c>
      <c r="BR16" t="s">
        <v>98</v>
      </c>
      <c r="BS16" t="s">
        <v>293</v>
      </c>
      <c r="BT16" t="str">
        <f>HYPERLINK("https%3A%2F%2Fwww.webofscience.com%2Fwos%2Fwoscc%2Ffull-record%2FWOS:000226134000002","View Full Record in Web of Science")</f>
        <v>View Full Record in Web of Science</v>
      </c>
    </row>
    <row r="17" spans="1:72" x14ac:dyDescent="0.15">
      <c r="A17" t="s">
        <v>122</v>
      </c>
      <c r="B17" t="s">
        <v>294</v>
      </c>
      <c r="C17" t="s">
        <v>74</v>
      </c>
      <c r="D17" t="s">
        <v>74</v>
      </c>
      <c r="E17" t="s">
        <v>74</v>
      </c>
      <c r="F17" t="s">
        <v>294</v>
      </c>
      <c r="G17" t="s">
        <v>74</v>
      </c>
      <c r="H17" t="s">
        <v>74</v>
      </c>
      <c r="I17" t="s">
        <v>295</v>
      </c>
      <c r="J17" t="s">
        <v>230</v>
      </c>
      <c r="K17" t="s">
        <v>74</v>
      </c>
      <c r="L17" t="s">
        <v>74</v>
      </c>
      <c r="M17" t="s">
        <v>79</v>
      </c>
      <c r="N17" t="s">
        <v>126</v>
      </c>
      <c r="O17" t="s">
        <v>74</v>
      </c>
      <c r="P17" t="s">
        <v>74</v>
      </c>
      <c r="Q17" t="s">
        <v>74</v>
      </c>
      <c r="R17" t="s">
        <v>74</v>
      </c>
      <c r="S17" t="s">
        <v>74</v>
      </c>
      <c r="T17" t="s">
        <v>74</v>
      </c>
      <c r="U17" t="s">
        <v>296</v>
      </c>
      <c r="V17" t="s">
        <v>297</v>
      </c>
      <c r="W17" t="s">
        <v>298</v>
      </c>
      <c r="X17" t="s">
        <v>299</v>
      </c>
      <c r="Y17" t="s">
        <v>300</v>
      </c>
      <c r="Z17" t="s">
        <v>301</v>
      </c>
      <c r="AA17" t="s">
        <v>302</v>
      </c>
      <c r="AB17" t="s">
        <v>303</v>
      </c>
      <c r="AC17" t="s">
        <v>74</v>
      </c>
      <c r="AD17" t="s">
        <v>74</v>
      </c>
      <c r="AE17" t="s">
        <v>74</v>
      </c>
      <c r="AF17" t="s">
        <v>74</v>
      </c>
      <c r="AG17">
        <v>18</v>
      </c>
      <c r="AH17">
        <v>14</v>
      </c>
      <c r="AI17">
        <v>14</v>
      </c>
      <c r="AJ17">
        <v>0</v>
      </c>
      <c r="AK17">
        <v>7</v>
      </c>
      <c r="AL17" t="s">
        <v>239</v>
      </c>
      <c r="AM17" t="s">
        <v>240</v>
      </c>
      <c r="AN17" t="s">
        <v>241</v>
      </c>
      <c r="AO17" t="s">
        <v>242</v>
      </c>
      <c r="AP17" t="s">
        <v>74</v>
      </c>
      <c r="AQ17" t="s">
        <v>74</v>
      </c>
      <c r="AR17" t="s">
        <v>243</v>
      </c>
      <c r="AS17" t="s">
        <v>244</v>
      </c>
      <c r="AT17" t="s">
        <v>304</v>
      </c>
      <c r="AU17">
        <v>2004</v>
      </c>
      <c r="AV17">
        <v>31</v>
      </c>
      <c r="AW17">
        <v>24</v>
      </c>
      <c r="AX17" t="s">
        <v>74</v>
      </c>
      <c r="AY17" t="s">
        <v>74</v>
      </c>
      <c r="AZ17" t="s">
        <v>74</v>
      </c>
      <c r="BA17" t="s">
        <v>74</v>
      </c>
      <c r="BB17" t="s">
        <v>74</v>
      </c>
      <c r="BC17" t="s">
        <v>74</v>
      </c>
      <c r="BD17" t="s">
        <v>305</v>
      </c>
      <c r="BE17" t="s">
        <v>306</v>
      </c>
      <c r="BF17" t="str">
        <f>HYPERLINK("http://dx.doi.org/10.1029/2004GL020829","http://dx.doi.org/10.1029/2004GL020829")</f>
        <v>http://dx.doi.org/10.1029/2004GL020829</v>
      </c>
      <c r="BG17" t="s">
        <v>74</v>
      </c>
      <c r="BH17" t="s">
        <v>74</v>
      </c>
      <c r="BI17">
        <v>5</v>
      </c>
      <c r="BJ17" t="s">
        <v>248</v>
      </c>
      <c r="BK17" t="s">
        <v>139</v>
      </c>
      <c r="BL17" t="s">
        <v>249</v>
      </c>
      <c r="BM17" t="s">
        <v>307</v>
      </c>
      <c r="BN17" t="s">
        <v>74</v>
      </c>
      <c r="BO17" t="s">
        <v>207</v>
      </c>
      <c r="BP17" t="s">
        <v>74</v>
      </c>
      <c r="BQ17" t="s">
        <v>74</v>
      </c>
      <c r="BR17" t="s">
        <v>98</v>
      </c>
      <c r="BS17" t="s">
        <v>308</v>
      </c>
      <c r="BT17" t="str">
        <f>HYPERLINK("https%3A%2F%2Fwww.webofscience.com%2Fwos%2Fwoscc%2Ffull-record%2FWOS:000226133100002","View Full Record in Web of Science")</f>
        <v>View Full Record in Web of Science</v>
      </c>
    </row>
    <row r="18" spans="1:72" x14ac:dyDescent="0.15">
      <c r="A18" t="s">
        <v>122</v>
      </c>
      <c r="B18" t="s">
        <v>309</v>
      </c>
      <c r="C18" t="s">
        <v>74</v>
      </c>
      <c r="D18" t="s">
        <v>74</v>
      </c>
      <c r="E18" t="s">
        <v>74</v>
      </c>
      <c r="F18" t="s">
        <v>309</v>
      </c>
      <c r="G18" t="s">
        <v>74</v>
      </c>
      <c r="H18" t="s">
        <v>74</v>
      </c>
      <c r="I18" t="s">
        <v>310</v>
      </c>
      <c r="J18" t="s">
        <v>311</v>
      </c>
      <c r="K18" t="s">
        <v>74</v>
      </c>
      <c r="L18" t="s">
        <v>74</v>
      </c>
      <c r="M18" t="s">
        <v>79</v>
      </c>
      <c r="N18" t="s">
        <v>126</v>
      </c>
      <c r="O18" t="s">
        <v>74</v>
      </c>
      <c r="P18" t="s">
        <v>74</v>
      </c>
      <c r="Q18" t="s">
        <v>74</v>
      </c>
      <c r="R18" t="s">
        <v>74</v>
      </c>
      <c r="S18" t="s">
        <v>74</v>
      </c>
      <c r="T18" t="s">
        <v>312</v>
      </c>
      <c r="U18" t="s">
        <v>313</v>
      </c>
      <c r="V18" t="s">
        <v>314</v>
      </c>
      <c r="W18" t="s">
        <v>315</v>
      </c>
      <c r="X18" t="s">
        <v>316</v>
      </c>
      <c r="Y18" t="s">
        <v>317</v>
      </c>
      <c r="Z18" t="s">
        <v>318</v>
      </c>
      <c r="AA18" t="s">
        <v>319</v>
      </c>
      <c r="AB18" t="s">
        <v>320</v>
      </c>
      <c r="AC18" t="s">
        <v>74</v>
      </c>
      <c r="AD18" t="s">
        <v>74</v>
      </c>
      <c r="AE18" t="s">
        <v>74</v>
      </c>
      <c r="AF18" t="s">
        <v>74</v>
      </c>
      <c r="AG18">
        <v>66</v>
      </c>
      <c r="AH18">
        <v>26</v>
      </c>
      <c r="AI18">
        <v>33</v>
      </c>
      <c r="AJ18">
        <v>0</v>
      </c>
      <c r="AK18">
        <v>15</v>
      </c>
      <c r="AL18" t="s">
        <v>239</v>
      </c>
      <c r="AM18" t="s">
        <v>240</v>
      </c>
      <c r="AN18" t="s">
        <v>241</v>
      </c>
      <c r="AO18" t="s">
        <v>321</v>
      </c>
      <c r="AP18" t="s">
        <v>74</v>
      </c>
      <c r="AQ18" t="s">
        <v>74</v>
      </c>
      <c r="AR18" t="s">
        <v>311</v>
      </c>
      <c r="AS18" t="s">
        <v>322</v>
      </c>
      <c r="AT18" t="s">
        <v>323</v>
      </c>
      <c r="AU18">
        <v>2004</v>
      </c>
      <c r="AV18">
        <v>19</v>
      </c>
      <c r="AW18">
        <v>4</v>
      </c>
      <c r="AX18" t="s">
        <v>74</v>
      </c>
      <c r="AY18" t="s">
        <v>74</v>
      </c>
      <c r="AZ18" t="s">
        <v>74</v>
      </c>
      <c r="BA18" t="s">
        <v>74</v>
      </c>
      <c r="BB18" t="s">
        <v>74</v>
      </c>
      <c r="BC18" t="s">
        <v>74</v>
      </c>
      <c r="BD18" t="s">
        <v>324</v>
      </c>
      <c r="BE18" t="s">
        <v>325</v>
      </c>
      <c r="BF18" t="str">
        <f>HYPERLINK("http://dx.doi.org/10.1029/2003PA000892","http://dx.doi.org/10.1029/2003PA000892")</f>
        <v>http://dx.doi.org/10.1029/2003PA000892</v>
      </c>
      <c r="BG18" t="s">
        <v>74</v>
      </c>
      <c r="BH18" t="s">
        <v>74</v>
      </c>
      <c r="BI18">
        <v>12</v>
      </c>
      <c r="BJ18" t="s">
        <v>326</v>
      </c>
      <c r="BK18" t="s">
        <v>139</v>
      </c>
      <c r="BL18" t="s">
        <v>327</v>
      </c>
      <c r="BM18" t="s">
        <v>328</v>
      </c>
      <c r="BN18" t="s">
        <v>74</v>
      </c>
      <c r="BO18" t="s">
        <v>329</v>
      </c>
      <c r="BP18" t="s">
        <v>74</v>
      </c>
      <c r="BQ18" t="s">
        <v>74</v>
      </c>
      <c r="BR18" t="s">
        <v>98</v>
      </c>
      <c r="BS18" t="s">
        <v>330</v>
      </c>
      <c r="BT18" t="str">
        <f>HYPERLINK("https%3A%2F%2Fwww.webofscience.com%2Fwos%2Fwoscc%2Ffull-record%2FWOS:000226135800001","View Full Record in Web of Science")</f>
        <v>View Full Record in Web of Science</v>
      </c>
    </row>
    <row r="19" spans="1:72" x14ac:dyDescent="0.15">
      <c r="A19" t="s">
        <v>122</v>
      </c>
      <c r="B19" t="s">
        <v>331</v>
      </c>
      <c r="C19" t="s">
        <v>74</v>
      </c>
      <c r="D19" t="s">
        <v>74</v>
      </c>
      <c r="E19" t="s">
        <v>74</v>
      </c>
      <c r="F19" t="s">
        <v>331</v>
      </c>
      <c r="G19" t="s">
        <v>74</v>
      </c>
      <c r="H19" t="s">
        <v>74</v>
      </c>
      <c r="I19" t="s">
        <v>332</v>
      </c>
      <c r="J19" t="s">
        <v>230</v>
      </c>
      <c r="K19" t="s">
        <v>74</v>
      </c>
      <c r="L19" t="s">
        <v>74</v>
      </c>
      <c r="M19" t="s">
        <v>79</v>
      </c>
      <c r="N19" t="s">
        <v>126</v>
      </c>
      <c r="O19" t="s">
        <v>74</v>
      </c>
      <c r="P19" t="s">
        <v>74</v>
      </c>
      <c r="Q19" t="s">
        <v>74</v>
      </c>
      <c r="R19" t="s">
        <v>74</v>
      </c>
      <c r="S19" t="s">
        <v>74</v>
      </c>
      <c r="T19" t="s">
        <v>74</v>
      </c>
      <c r="U19" t="s">
        <v>333</v>
      </c>
      <c r="V19" t="s">
        <v>334</v>
      </c>
      <c r="W19" t="s">
        <v>335</v>
      </c>
      <c r="X19" t="s">
        <v>336</v>
      </c>
      <c r="Y19" t="s">
        <v>337</v>
      </c>
      <c r="Z19" t="s">
        <v>338</v>
      </c>
      <c r="AA19" t="s">
        <v>339</v>
      </c>
      <c r="AB19" t="s">
        <v>340</v>
      </c>
      <c r="AC19" t="s">
        <v>74</v>
      </c>
      <c r="AD19" t="s">
        <v>74</v>
      </c>
      <c r="AE19" t="s">
        <v>74</v>
      </c>
      <c r="AF19" t="s">
        <v>74</v>
      </c>
      <c r="AG19">
        <v>32</v>
      </c>
      <c r="AH19">
        <v>40</v>
      </c>
      <c r="AI19">
        <v>42</v>
      </c>
      <c r="AJ19">
        <v>0</v>
      </c>
      <c r="AK19">
        <v>15</v>
      </c>
      <c r="AL19" t="s">
        <v>239</v>
      </c>
      <c r="AM19" t="s">
        <v>240</v>
      </c>
      <c r="AN19" t="s">
        <v>241</v>
      </c>
      <c r="AO19" t="s">
        <v>242</v>
      </c>
      <c r="AP19" t="s">
        <v>341</v>
      </c>
      <c r="AQ19" t="s">
        <v>74</v>
      </c>
      <c r="AR19" t="s">
        <v>243</v>
      </c>
      <c r="AS19" t="s">
        <v>244</v>
      </c>
      <c r="AT19" t="s">
        <v>342</v>
      </c>
      <c r="AU19">
        <v>2004</v>
      </c>
      <c r="AV19">
        <v>31</v>
      </c>
      <c r="AW19">
        <v>24</v>
      </c>
      <c r="AX19" t="s">
        <v>74</v>
      </c>
      <c r="AY19" t="s">
        <v>74</v>
      </c>
      <c r="AZ19" t="s">
        <v>74</v>
      </c>
      <c r="BA19" t="s">
        <v>74</v>
      </c>
      <c r="BB19" t="s">
        <v>74</v>
      </c>
      <c r="BC19" t="s">
        <v>74</v>
      </c>
      <c r="BD19" t="s">
        <v>343</v>
      </c>
      <c r="BE19" t="s">
        <v>344</v>
      </c>
      <c r="BF19" t="str">
        <f>HYPERLINK("http://dx.doi.org/10.1029/2004GL020871","http://dx.doi.org/10.1029/2004GL020871")</f>
        <v>http://dx.doi.org/10.1029/2004GL020871</v>
      </c>
      <c r="BG19" t="s">
        <v>74</v>
      </c>
      <c r="BH19" t="s">
        <v>74</v>
      </c>
      <c r="BI19">
        <v>4</v>
      </c>
      <c r="BJ19" t="s">
        <v>248</v>
      </c>
      <c r="BK19" t="s">
        <v>139</v>
      </c>
      <c r="BL19" t="s">
        <v>249</v>
      </c>
      <c r="BM19" t="s">
        <v>345</v>
      </c>
      <c r="BN19" t="s">
        <v>74</v>
      </c>
      <c r="BO19" t="s">
        <v>74</v>
      </c>
      <c r="BP19" t="s">
        <v>74</v>
      </c>
      <c r="BQ19" t="s">
        <v>74</v>
      </c>
      <c r="BR19" t="s">
        <v>98</v>
      </c>
      <c r="BS19" t="s">
        <v>346</v>
      </c>
      <c r="BT19" t="str">
        <f>HYPERLINK("https%3A%2F%2Fwww.webofscience.com%2Fwos%2Fwoscc%2Ffull-record%2FWOS:000226026500001","View Full Record in Web of Science")</f>
        <v>View Full Record in Web of Science</v>
      </c>
    </row>
    <row r="20" spans="1:72" x14ac:dyDescent="0.15">
      <c r="A20" t="s">
        <v>122</v>
      </c>
      <c r="B20" t="s">
        <v>347</v>
      </c>
      <c r="C20" t="s">
        <v>74</v>
      </c>
      <c r="D20" t="s">
        <v>74</v>
      </c>
      <c r="E20" t="s">
        <v>74</v>
      </c>
      <c r="F20" t="s">
        <v>347</v>
      </c>
      <c r="G20" t="s">
        <v>74</v>
      </c>
      <c r="H20" t="s">
        <v>74</v>
      </c>
      <c r="I20" t="s">
        <v>348</v>
      </c>
      <c r="J20" t="s">
        <v>277</v>
      </c>
      <c r="K20" t="s">
        <v>74</v>
      </c>
      <c r="L20" t="s">
        <v>74</v>
      </c>
      <c r="M20" t="s">
        <v>79</v>
      </c>
      <c r="N20" t="s">
        <v>126</v>
      </c>
      <c r="O20" t="s">
        <v>74</v>
      </c>
      <c r="P20" t="s">
        <v>74</v>
      </c>
      <c r="Q20" t="s">
        <v>74</v>
      </c>
      <c r="R20" t="s">
        <v>74</v>
      </c>
      <c r="S20" t="s">
        <v>74</v>
      </c>
      <c r="T20" t="s">
        <v>349</v>
      </c>
      <c r="U20" t="s">
        <v>350</v>
      </c>
      <c r="V20" t="s">
        <v>351</v>
      </c>
      <c r="W20" t="s">
        <v>352</v>
      </c>
      <c r="X20" t="s">
        <v>353</v>
      </c>
      <c r="Y20" t="s">
        <v>354</v>
      </c>
      <c r="Z20" t="s">
        <v>355</v>
      </c>
      <c r="AA20" t="s">
        <v>356</v>
      </c>
      <c r="AB20" t="s">
        <v>357</v>
      </c>
      <c r="AC20" t="s">
        <v>74</v>
      </c>
      <c r="AD20" t="s">
        <v>74</v>
      </c>
      <c r="AE20" t="s">
        <v>74</v>
      </c>
      <c r="AF20" t="s">
        <v>74</v>
      </c>
      <c r="AG20">
        <v>51</v>
      </c>
      <c r="AH20">
        <v>124</v>
      </c>
      <c r="AI20">
        <v>129</v>
      </c>
      <c r="AJ20">
        <v>0</v>
      </c>
      <c r="AK20">
        <v>15</v>
      </c>
      <c r="AL20" t="s">
        <v>239</v>
      </c>
      <c r="AM20" t="s">
        <v>240</v>
      </c>
      <c r="AN20" t="s">
        <v>241</v>
      </c>
      <c r="AO20" t="s">
        <v>284</v>
      </c>
      <c r="AP20" t="s">
        <v>285</v>
      </c>
      <c r="AQ20" t="s">
        <v>74</v>
      </c>
      <c r="AR20" t="s">
        <v>286</v>
      </c>
      <c r="AS20" t="s">
        <v>287</v>
      </c>
      <c r="AT20" t="s">
        <v>358</v>
      </c>
      <c r="AU20">
        <v>2004</v>
      </c>
      <c r="AV20">
        <v>109</v>
      </c>
      <c r="AW20" t="s">
        <v>288</v>
      </c>
      <c r="AX20" t="s">
        <v>74</v>
      </c>
      <c r="AY20" t="s">
        <v>74</v>
      </c>
      <c r="AZ20" t="s">
        <v>74</v>
      </c>
      <c r="BA20" t="s">
        <v>74</v>
      </c>
      <c r="BB20" t="s">
        <v>74</v>
      </c>
      <c r="BC20" t="s">
        <v>74</v>
      </c>
      <c r="BD20" t="s">
        <v>359</v>
      </c>
      <c r="BE20" t="s">
        <v>360</v>
      </c>
      <c r="BF20" t="str">
        <f>HYPERLINK("http://dx.doi.org/10.1029/2004JD004701","http://dx.doi.org/10.1029/2004JD004701")</f>
        <v>http://dx.doi.org/10.1029/2004JD004701</v>
      </c>
      <c r="BG20" t="s">
        <v>74</v>
      </c>
      <c r="BH20" t="s">
        <v>74</v>
      </c>
      <c r="BI20">
        <v>16</v>
      </c>
      <c r="BJ20" t="s">
        <v>291</v>
      </c>
      <c r="BK20" t="s">
        <v>139</v>
      </c>
      <c r="BL20" t="s">
        <v>291</v>
      </c>
      <c r="BM20" t="s">
        <v>361</v>
      </c>
      <c r="BN20" t="s">
        <v>74</v>
      </c>
      <c r="BO20" t="s">
        <v>74</v>
      </c>
      <c r="BP20" t="s">
        <v>74</v>
      </c>
      <c r="BQ20" t="s">
        <v>74</v>
      </c>
      <c r="BR20" t="s">
        <v>98</v>
      </c>
      <c r="BS20" t="s">
        <v>362</v>
      </c>
      <c r="BT20" t="str">
        <f>HYPERLINK("https%3A%2F%2Fwww.webofscience.com%2Fwos%2Fwoscc%2Ffull-record%2FWOS:000226027000002","View Full Record in Web of Science")</f>
        <v>View Full Record in Web of Science</v>
      </c>
    </row>
    <row r="21" spans="1:72" x14ac:dyDescent="0.15">
      <c r="A21" t="s">
        <v>122</v>
      </c>
      <c r="B21" t="s">
        <v>363</v>
      </c>
      <c r="C21" t="s">
        <v>74</v>
      </c>
      <c r="D21" t="s">
        <v>74</v>
      </c>
      <c r="E21" t="s">
        <v>74</v>
      </c>
      <c r="F21" t="s">
        <v>363</v>
      </c>
      <c r="G21" t="s">
        <v>74</v>
      </c>
      <c r="H21" t="s">
        <v>74</v>
      </c>
      <c r="I21" t="s">
        <v>364</v>
      </c>
      <c r="J21" t="s">
        <v>365</v>
      </c>
      <c r="K21" t="s">
        <v>74</v>
      </c>
      <c r="L21" t="s">
        <v>74</v>
      </c>
      <c r="M21" t="s">
        <v>79</v>
      </c>
      <c r="N21" t="s">
        <v>126</v>
      </c>
      <c r="O21" t="s">
        <v>74</v>
      </c>
      <c r="P21" t="s">
        <v>74</v>
      </c>
      <c r="Q21" t="s">
        <v>74</v>
      </c>
      <c r="R21" t="s">
        <v>74</v>
      </c>
      <c r="S21" t="s">
        <v>74</v>
      </c>
      <c r="T21" t="s">
        <v>74</v>
      </c>
      <c r="U21" t="s">
        <v>366</v>
      </c>
      <c r="V21" t="s">
        <v>367</v>
      </c>
      <c r="W21" t="s">
        <v>368</v>
      </c>
      <c r="X21" t="s">
        <v>369</v>
      </c>
      <c r="Y21" t="s">
        <v>370</v>
      </c>
      <c r="Z21" t="s">
        <v>371</v>
      </c>
      <c r="AA21" t="s">
        <v>372</v>
      </c>
      <c r="AB21" t="s">
        <v>373</v>
      </c>
      <c r="AC21" t="s">
        <v>74</v>
      </c>
      <c r="AD21" t="s">
        <v>74</v>
      </c>
      <c r="AE21" t="s">
        <v>74</v>
      </c>
      <c r="AF21" t="s">
        <v>74</v>
      </c>
      <c r="AG21">
        <v>30</v>
      </c>
      <c r="AH21">
        <v>114</v>
      </c>
      <c r="AI21">
        <v>124</v>
      </c>
      <c r="AJ21">
        <v>5</v>
      </c>
      <c r="AK21">
        <v>38</v>
      </c>
      <c r="AL21" t="s">
        <v>374</v>
      </c>
      <c r="AM21" t="s">
        <v>375</v>
      </c>
      <c r="AN21" t="s">
        <v>376</v>
      </c>
      <c r="AO21" t="s">
        <v>377</v>
      </c>
      <c r="AP21" t="s">
        <v>378</v>
      </c>
      <c r="AQ21" t="s">
        <v>74</v>
      </c>
      <c r="AR21" t="s">
        <v>365</v>
      </c>
      <c r="AS21" t="s">
        <v>379</v>
      </c>
      <c r="AT21" t="s">
        <v>358</v>
      </c>
      <c r="AU21">
        <v>2004</v>
      </c>
      <c r="AV21">
        <v>432</v>
      </c>
      <c r="AW21">
        <v>7020</v>
      </c>
      <c r="AX21" t="s">
        <v>74</v>
      </c>
      <c r="AY21" t="s">
        <v>74</v>
      </c>
      <c r="AZ21" t="s">
        <v>74</v>
      </c>
      <c r="BA21" t="s">
        <v>74</v>
      </c>
      <c r="BB21">
        <v>1011</v>
      </c>
      <c r="BC21">
        <v>1014</v>
      </c>
      <c r="BD21" t="s">
        <v>74</v>
      </c>
      <c r="BE21" t="s">
        <v>380</v>
      </c>
      <c r="BF21" t="str">
        <f>HYPERLINK("http://dx.doi.org/10.1038/nature03137","http://dx.doi.org/10.1038/nature03137")</f>
        <v>http://dx.doi.org/10.1038/nature03137</v>
      </c>
      <c r="BG21" t="s">
        <v>74</v>
      </c>
      <c r="BH21" t="s">
        <v>74</v>
      </c>
      <c r="BI21">
        <v>4</v>
      </c>
      <c r="BJ21" t="s">
        <v>381</v>
      </c>
      <c r="BK21" t="s">
        <v>139</v>
      </c>
      <c r="BL21" t="s">
        <v>382</v>
      </c>
      <c r="BM21" t="s">
        <v>383</v>
      </c>
      <c r="BN21">
        <v>15616558</v>
      </c>
      <c r="BO21" t="s">
        <v>74</v>
      </c>
      <c r="BP21" t="s">
        <v>74</v>
      </c>
      <c r="BQ21" t="s">
        <v>74</v>
      </c>
      <c r="BR21" t="s">
        <v>98</v>
      </c>
      <c r="BS21" t="s">
        <v>384</v>
      </c>
      <c r="BT21" t="str">
        <f>HYPERLINK("https%3A%2F%2Fwww.webofscience.com%2Fwos%2Fwoscc%2Ffull-record%2FWOS:000225887000037","View Full Record in Web of Science")</f>
        <v>View Full Record in Web of Science</v>
      </c>
    </row>
    <row r="22" spans="1:72" x14ac:dyDescent="0.15">
      <c r="A22" t="s">
        <v>122</v>
      </c>
      <c r="B22" t="s">
        <v>385</v>
      </c>
      <c r="C22" t="s">
        <v>74</v>
      </c>
      <c r="D22" t="s">
        <v>74</v>
      </c>
      <c r="E22" t="s">
        <v>74</v>
      </c>
      <c r="F22" t="s">
        <v>385</v>
      </c>
      <c r="G22" t="s">
        <v>74</v>
      </c>
      <c r="H22" t="s">
        <v>74</v>
      </c>
      <c r="I22" t="s">
        <v>386</v>
      </c>
      <c r="J22" t="s">
        <v>365</v>
      </c>
      <c r="K22" t="s">
        <v>74</v>
      </c>
      <c r="L22" t="s">
        <v>74</v>
      </c>
      <c r="M22" t="s">
        <v>79</v>
      </c>
      <c r="N22" t="s">
        <v>126</v>
      </c>
      <c r="O22" t="s">
        <v>74</v>
      </c>
      <c r="P22" t="s">
        <v>74</v>
      </c>
      <c r="Q22" t="s">
        <v>74</v>
      </c>
      <c r="R22" t="s">
        <v>74</v>
      </c>
      <c r="S22" t="s">
        <v>74</v>
      </c>
      <c r="T22" t="s">
        <v>74</v>
      </c>
      <c r="U22" t="s">
        <v>387</v>
      </c>
      <c r="V22" t="s">
        <v>388</v>
      </c>
      <c r="W22" t="s">
        <v>389</v>
      </c>
      <c r="X22" t="s">
        <v>390</v>
      </c>
      <c r="Y22" t="s">
        <v>391</v>
      </c>
      <c r="Z22" t="s">
        <v>392</v>
      </c>
      <c r="AA22" t="s">
        <v>393</v>
      </c>
      <c r="AB22" t="s">
        <v>394</v>
      </c>
      <c r="AC22" t="s">
        <v>74</v>
      </c>
      <c r="AD22" t="s">
        <v>74</v>
      </c>
      <c r="AE22" t="s">
        <v>74</v>
      </c>
      <c r="AF22" t="s">
        <v>74</v>
      </c>
      <c r="AG22">
        <v>21</v>
      </c>
      <c r="AH22">
        <v>84</v>
      </c>
      <c r="AI22">
        <v>89</v>
      </c>
      <c r="AJ22">
        <v>3</v>
      </c>
      <c r="AK22">
        <v>27</v>
      </c>
      <c r="AL22" t="s">
        <v>374</v>
      </c>
      <c r="AM22" t="s">
        <v>375</v>
      </c>
      <c r="AN22" t="s">
        <v>376</v>
      </c>
      <c r="AO22" t="s">
        <v>377</v>
      </c>
      <c r="AP22" t="s">
        <v>378</v>
      </c>
      <c r="AQ22" t="s">
        <v>74</v>
      </c>
      <c r="AR22" t="s">
        <v>365</v>
      </c>
      <c r="AS22" t="s">
        <v>379</v>
      </c>
      <c r="AT22" t="s">
        <v>358</v>
      </c>
      <c r="AU22">
        <v>2004</v>
      </c>
      <c r="AV22">
        <v>432</v>
      </c>
      <c r="AW22">
        <v>7020</v>
      </c>
      <c r="AX22" t="s">
        <v>74</v>
      </c>
      <c r="AY22" t="s">
        <v>74</v>
      </c>
      <c r="AZ22" t="s">
        <v>74</v>
      </c>
      <c r="BA22" t="s">
        <v>74</v>
      </c>
      <c r="BB22">
        <v>1018</v>
      </c>
      <c r="BC22">
        <v>1020</v>
      </c>
      <c r="BD22" t="s">
        <v>74</v>
      </c>
      <c r="BE22" t="s">
        <v>395</v>
      </c>
      <c r="BF22" t="str">
        <f>HYPERLINK("http://dx.doi.org/10.1038/nature03134","http://dx.doi.org/10.1038/nature03134")</f>
        <v>http://dx.doi.org/10.1038/nature03134</v>
      </c>
      <c r="BG22" t="s">
        <v>74</v>
      </c>
      <c r="BH22" t="s">
        <v>74</v>
      </c>
      <c r="BI22">
        <v>3</v>
      </c>
      <c r="BJ22" t="s">
        <v>381</v>
      </c>
      <c r="BK22" t="s">
        <v>139</v>
      </c>
      <c r="BL22" t="s">
        <v>382</v>
      </c>
      <c r="BM22" t="s">
        <v>383</v>
      </c>
      <c r="BN22">
        <v>15616560</v>
      </c>
      <c r="BO22" t="s">
        <v>74</v>
      </c>
      <c r="BP22" t="s">
        <v>74</v>
      </c>
      <c r="BQ22" t="s">
        <v>74</v>
      </c>
      <c r="BR22" t="s">
        <v>98</v>
      </c>
      <c r="BS22" t="s">
        <v>396</v>
      </c>
      <c r="BT22" t="str">
        <f>HYPERLINK("https%3A%2F%2Fwww.webofscience.com%2Fwos%2Fwoscc%2Ffull-record%2FWOS:000225887000039","View Full Record in Web of Science")</f>
        <v>View Full Record in Web of Science</v>
      </c>
    </row>
    <row r="23" spans="1:72" x14ac:dyDescent="0.15">
      <c r="A23" t="s">
        <v>122</v>
      </c>
      <c r="B23" t="s">
        <v>397</v>
      </c>
      <c r="C23" t="s">
        <v>74</v>
      </c>
      <c r="D23" t="s">
        <v>74</v>
      </c>
      <c r="E23" t="s">
        <v>74</v>
      </c>
      <c r="F23" t="s">
        <v>397</v>
      </c>
      <c r="G23" t="s">
        <v>74</v>
      </c>
      <c r="H23" t="s">
        <v>74</v>
      </c>
      <c r="I23" t="s">
        <v>398</v>
      </c>
      <c r="J23" t="s">
        <v>230</v>
      </c>
      <c r="K23" t="s">
        <v>74</v>
      </c>
      <c r="L23" t="s">
        <v>74</v>
      </c>
      <c r="M23" t="s">
        <v>79</v>
      </c>
      <c r="N23" t="s">
        <v>126</v>
      </c>
      <c r="O23" t="s">
        <v>74</v>
      </c>
      <c r="P23" t="s">
        <v>74</v>
      </c>
      <c r="Q23" t="s">
        <v>74</v>
      </c>
      <c r="R23" t="s">
        <v>74</v>
      </c>
      <c r="S23" t="s">
        <v>74</v>
      </c>
      <c r="T23" t="s">
        <v>74</v>
      </c>
      <c r="U23" t="s">
        <v>399</v>
      </c>
      <c r="V23" t="s">
        <v>400</v>
      </c>
      <c r="W23" t="s">
        <v>401</v>
      </c>
      <c r="X23" t="s">
        <v>402</v>
      </c>
      <c r="Y23" t="s">
        <v>403</v>
      </c>
      <c r="Z23" t="s">
        <v>404</v>
      </c>
      <c r="AA23" t="s">
        <v>405</v>
      </c>
      <c r="AB23" t="s">
        <v>406</v>
      </c>
      <c r="AC23" t="s">
        <v>74</v>
      </c>
      <c r="AD23" t="s">
        <v>74</v>
      </c>
      <c r="AE23" t="s">
        <v>74</v>
      </c>
      <c r="AF23" t="s">
        <v>74</v>
      </c>
      <c r="AG23">
        <v>27</v>
      </c>
      <c r="AH23">
        <v>60</v>
      </c>
      <c r="AI23">
        <v>75</v>
      </c>
      <c r="AJ23">
        <v>0</v>
      </c>
      <c r="AK23">
        <v>13</v>
      </c>
      <c r="AL23" t="s">
        <v>239</v>
      </c>
      <c r="AM23" t="s">
        <v>240</v>
      </c>
      <c r="AN23" t="s">
        <v>241</v>
      </c>
      <c r="AO23" t="s">
        <v>242</v>
      </c>
      <c r="AP23" t="s">
        <v>341</v>
      </c>
      <c r="AQ23" t="s">
        <v>74</v>
      </c>
      <c r="AR23" t="s">
        <v>243</v>
      </c>
      <c r="AS23" t="s">
        <v>244</v>
      </c>
      <c r="AT23" t="s">
        <v>407</v>
      </c>
      <c r="AU23">
        <v>2004</v>
      </c>
      <c r="AV23">
        <v>31</v>
      </c>
      <c r="AW23">
        <v>24</v>
      </c>
      <c r="AX23" t="s">
        <v>74</v>
      </c>
      <c r="AY23" t="s">
        <v>74</v>
      </c>
      <c r="AZ23" t="s">
        <v>74</v>
      </c>
      <c r="BA23" t="s">
        <v>74</v>
      </c>
      <c r="BB23" t="s">
        <v>74</v>
      </c>
      <c r="BC23" t="s">
        <v>74</v>
      </c>
      <c r="BD23" t="s">
        <v>408</v>
      </c>
      <c r="BE23" t="s">
        <v>409</v>
      </c>
      <c r="BF23" t="str">
        <f>HYPERLINK("http://dx.doi.org/10.1029/2004GL021473","http://dx.doi.org/10.1029/2004GL021473")</f>
        <v>http://dx.doi.org/10.1029/2004GL021473</v>
      </c>
      <c r="BG23" t="s">
        <v>74</v>
      </c>
      <c r="BH23" t="s">
        <v>74</v>
      </c>
      <c r="BI23">
        <v>4</v>
      </c>
      <c r="BJ23" t="s">
        <v>248</v>
      </c>
      <c r="BK23" t="s">
        <v>139</v>
      </c>
      <c r="BL23" t="s">
        <v>249</v>
      </c>
      <c r="BM23" t="s">
        <v>410</v>
      </c>
      <c r="BN23" t="s">
        <v>74</v>
      </c>
      <c r="BO23" t="s">
        <v>273</v>
      </c>
      <c r="BP23" t="s">
        <v>74</v>
      </c>
      <c r="BQ23" t="s">
        <v>74</v>
      </c>
      <c r="BR23" t="s">
        <v>98</v>
      </c>
      <c r="BS23" t="s">
        <v>411</v>
      </c>
      <c r="BT23" t="str">
        <f>HYPERLINK("https%3A%2F%2Fwww.webofscience.com%2Fwos%2Fwoscc%2Ffull-record%2FWOS:000226026300006","View Full Record in Web of Science")</f>
        <v>View Full Record in Web of Science</v>
      </c>
    </row>
    <row r="24" spans="1:72" x14ac:dyDescent="0.15">
      <c r="A24" t="s">
        <v>122</v>
      </c>
      <c r="B24" t="s">
        <v>412</v>
      </c>
      <c r="C24" t="s">
        <v>74</v>
      </c>
      <c r="D24" t="s">
        <v>74</v>
      </c>
      <c r="E24" t="s">
        <v>74</v>
      </c>
      <c r="F24" t="s">
        <v>412</v>
      </c>
      <c r="G24" t="s">
        <v>74</v>
      </c>
      <c r="H24" t="s">
        <v>74</v>
      </c>
      <c r="I24" t="s">
        <v>413</v>
      </c>
      <c r="J24" t="s">
        <v>255</v>
      </c>
      <c r="K24" t="s">
        <v>74</v>
      </c>
      <c r="L24" t="s">
        <v>74</v>
      </c>
      <c r="M24" t="s">
        <v>79</v>
      </c>
      <c r="N24" t="s">
        <v>126</v>
      </c>
      <c r="O24" t="s">
        <v>74</v>
      </c>
      <c r="P24" t="s">
        <v>74</v>
      </c>
      <c r="Q24" t="s">
        <v>74</v>
      </c>
      <c r="R24" t="s">
        <v>74</v>
      </c>
      <c r="S24" t="s">
        <v>74</v>
      </c>
      <c r="T24" t="s">
        <v>414</v>
      </c>
      <c r="U24" t="s">
        <v>415</v>
      </c>
      <c r="V24" t="s">
        <v>416</v>
      </c>
      <c r="W24" t="s">
        <v>417</v>
      </c>
      <c r="X24" t="s">
        <v>418</v>
      </c>
      <c r="Y24" t="s">
        <v>419</v>
      </c>
      <c r="Z24" t="s">
        <v>420</v>
      </c>
      <c r="AA24" t="s">
        <v>421</v>
      </c>
      <c r="AB24" t="s">
        <v>422</v>
      </c>
      <c r="AC24" t="s">
        <v>74</v>
      </c>
      <c r="AD24" t="s">
        <v>74</v>
      </c>
      <c r="AE24" t="s">
        <v>74</v>
      </c>
      <c r="AF24" t="s">
        <v>74</v>
      </c>
      <c r="AG24">
        <v>22</v>
      </c>
      <c r="AH24">
        <v>6</v>
      </c>
      <c r="AI24">
        <v>6</v>
      </c>
      <c r="AJ24">
        <v>0</v>
      </c>
      <c r="AK24">
        <v>7</v>
      </c>
      <c r="AL24" t="s">
        <v>239</v>
      </c>
      <c r="AM24" t="s">
        <v>240</v>
      </c>
      <c r="AN24" t="s">
        <v>241</v>
      </c>
      <c r="AO24" t="s">
        <v>74</v>
      </c>
      <c r="AP24" t="s">
        <v>265</v>
      </c>
      <c r="AQ24" t="s">
        <v>74</v>
      </c>
      <c r="AR24" t="s">
        <v>266</v>
      </c>
      <c r="AS24" t="s">
        <v>267</v>
      </c>
      <c r="AT24" t="s">
        <v>423</v>
      </c>
      <c r="AU24">
        <v>2004</v>
      </c>
      <c r="AV24">
        <v>5</v>
      </c>
      <c r="AW24" t="s">
        <v>74</v>
      </c>
      <c r="AX24" t="s">
        <v>74</v>
      </c>
      <c r="AY24" t="s">
        <v>74</v>
      </c>
      <c r="AZ24" t="s">
        <v>74</v>
      </c>
      <c r="BA24" t="s">
        <v>74</v>
      </c>
      <c r="BB24" t="s">
        <v>74</v>
      </c>
      <c r="BC24" t="s">
        <v>74</v>
      </c>
      <c r="BD24" t="s">
        <v>424</v>
      </c>
      <c r="BE24" t="s">
        <v>425</v>
      </c>
      <c r="BF24" t="str">
        <f>HYPERLINK("http://dx.doi.org/10.1029/2004GC000810","http://dx.doi.org/10.1029/2004GC000810")</f>
        <v>http://dx.doi.org/10.1029/2004GC000810</v>
      </c>
      <c r="BG24" t="s">
        <v>74</v>
      </c>
      <c r="BH24" t="s">
        <v>74</v>
      </c>
      <c r="BI24">
        <v>9</v>
      </c>
      <c r="BJ24" t="s">
        <v>271</v>
      </c>
      <c r="BK24" t="s">
        <v>139</v>
      </c>
      <c r="BL24" t="s">
        <v>271</v>
      </c>
      <c r="BM24" t="s">
        <v>426</v>
      </c>
      <c r="BN24" t="s">
        <v>74</v>
      </c>
      <c r="BO24" t="s">
        <v>74</v>
      </c>
      <c r="BP24" t="s">
        <v>74</v>
      </c>
      <c r="BQ24" t="s">
        <v>74</v>
      </c>
      <c r="BR24" t="s">
        <v>98</v>
      </c>
      <c r="BS24" t="s">
        <v>427</v>
      </c>
      <c r="BT24" t="str">
        <f>HYPERLINK("https%3A%2F%2Fwww.webofscience.com%2Fwos%2Fwoscc%2Ffull-record%2FWOS:000226025900003","View Full Record in Web of Science")</f>
        <v>View Full Record in Web of Science</v>
      </c>
    </row>
    <row r="25" spans="1:72" x14ac:dyDescent="0.15">
      <c r="A25" t="s">
        <v>122</v>
      </c>
      <c r="B25" t="s">
        <v>428</v>
      </c>
      <c r="C25" t="s">
        <v>74</v>
      </c>
      <c r="D25" t="s">
        <v>74</v>
      </c>
      <c r="E25" t="s">
        <v>74</v>
      </c>
      <c r="F25" t="s">
        <v>428</v>
      </c>
      <c r="G25" t="s">
        <v>74</v>
      </c>
      <c r="H25" t="s">
        <v>74</v>
      </c>
      <c r="I25" t="s">
        <v>429</v>
      </c>
      <c r="J25" t="s">
        <v>311</v>
      </c>
      <c r="K25" t="s">
        <v>74</v>
      </c>
      <c r="L25" t="s">
        <v>74</v>
      </c>
      <c r="M25" t="s">
        <v>79</v>
      </c>
      <c r="N25" t="s">
        <v>126</v>
      </c>
      <c r="O25" t="s">
        <v>74</v>
      </c>
      <c r="P25" t="s">
        <v>74</v>
      </c>
      <c r="Q25" t="s">
        <v>74</v>
      </c>
      <c r="R25" t="s">
        <v>74</v>
      </c>
      <c r="S25" t="s">
        <v>74</v>
      </c>
      <c r="T25" t="s">
        <v>430</v>
      </c>
      <c r="U25" t="s">
        <v>431</v>
      </c>
      <c r="V25" t="s">
        <v>432</v>
      </c>
      <c r="W25" t="s">
        <v>433</v>
      </c>
      <c r="X25" t="s">
        <v>434</v>
      </c>
      <c r="Y25" t="s">
        <v>435</v>
      </c>
      <c r="Z25" t="s">
        <v>436</v>
      </c>
      <c r="AA25" t="s">
        <v>437</v>
      </c>
      <c r="AB25" t="s">
        <v>438</v>
      </c>
      <c r="AC25" t="s">
        <v>74</v>
      </c>
      <c r="AD25" t="s">
        <v>74</v>
      </c>
      <c r="AE25" t="s">
        <v>74</v>
      </c>
      <c r="AF25" t="s">
        <v>74</v>
      </c>
      <c r="AG25">
        <v>80</v>
      </c>
      <c r="AH25">
        <v>173</v>
      </c>
      <c r="AI25">
        <v>187</v>
      </c>
      <c r="AJ25">
        <v>0</v>
      </c>
      <c r="AK25">
        <v>42</v>
      </c>
      <c r="AL25" t="s">
        <v>239</v>
      </c>
      <c r="AM25" t="s">
        <v>240</v>
      </c>
      <c r="AN25" t="s">
        <v>241</v>
      </c>
      <c r="AO25" t="s">
        <v>321</v>
      </c>
      <c r="AP25" t="s">
        <v>439</v>
      </c>
      <c r="AQ25" t="s">
        <v>74</v>
      </c>
      <c r="AR25" t="s">
        <v>311</v>
      </c>
      <c r="AS25" t="s">
        <v>322</v>
      </c>
      <c r="AT25" t="s">
        <v>440</v>
      </c>
      <c r="AU25">
        <v>2004</v>
      </c>
      <c r="AV25">
        <v>19</v>
      </c>
      <c r="AW25">
        <v>4</v>
      </c>
      <c r="AX25" t="s">
        <v>74</v>
      </c>
      <c r="AY25" t="s">
        <v>74</v>
      </c>
      <c r="AZ25" t="s">
        <v>74</v>
      </c>
      <c r="BA25" t="s">
        <v>74</v>
      </c>
      <c r="BB25" t="s">
        <v>74</v>
      </c>
      <c r="BC25" t="s">
        <v>74</v>
      </c>
      <c r="BD25" t="s">
        <v>441</v>
      </c>
      <c r="BE25" t="s">
        <v>442</v>
      </c>
      <c r="BF25" t="str">
        <f>HYPERLINK("http://dx.doi.org/10.1029/2004PA001014","http://dx.doi.org/10.1029/2004PA001014")</f>
        <v>http://dx.doi.org/10.1029/2004PA001014</v>
      </c>
      <c r="BG25" t="s">
        <v>74</v>
      </c>
      <c r="BH25" t="s">
        <v>74</v>
      </c>
      <c r="BI25">
        <v>12</v>
      </c>
      <c r="BJ25" t="s">
        <v>326</v>
      </c>
      <c r="BK25" t="s">
        <v>139</v>
      </c>
      <c r="BL25" t="s">
        <v>327</v>
      </c>
      <c r="BM25" t="s">
        <v>443</v>
      </c>
      <c r="BN25" t="s">
        <v>74</v>
      </c>
      <c r="BO25" t="s">
        <v>329</v>
      </c>
      <c r="BP25" t="s">
        <v>74</v>
      </c>
      <c r="BQ25" t="s">
        <v>74</v>
      </c>
      <c r="BR25" t="s">
        <v>98</v>
      </c>
      <c r="BS25" t="s">
        <v>444</v>
      </c>
      <c r="BT25" t="str">
        <f>HYPERLINK("https%3A%2F%2Fwww.webofscience.com%2Fwos%2Fwoscc%2Ffull-record%2FWOS:000225884500001","View Full Record in Web of Science")</f>
        <v>View Full Record in Web of Science</v>
      </c>
    </row>
    <row r="26" spans="1:72" x14ac:dyDescent="0.15">
      <c r="A26" t="s">
        <v>122</v>
      </c>
      <c r="B26" t="s">
        <v>445</v>
      </c>
      <c r="C26" t="s">
        <v>74</v>
      </c>
      <c r="D26" t="s">
        <v>74</v>
      </c>
      <c r="E26" t="s">
        <v>74</v>
      </c>
      <c r="F26" t="s">
        <v>445</v>
      </c>
      <c r="G26" t="s">
        <v>74</v>
      </c>
      <c r="H26" t="s">
        <v>74</v>
      </c>
      <c r="I26" t="s">
        <v>446</v>
      </c>
      <c r="J26" t="s">
        <v>311</v>
      </c>
      <c r="K26" t="s">
        <v>74</v>
      </c>
      <c r="L26" t="s">
        <v>74</v>
      </c>
      <c r="M26" t="s">
        <v>79</v>
      </c>
      <c r="N26" t="s">
        <v>126</v>
      </c>
      <c r="O26" t="s">
        <v>74</v>
      </c>
      <c r="P26" t="s">
        <v>74</v>
      </c>
      <c r="Q26" t="s">
        <v>74</v>
      </c>
      <c r="R26" t="s">
        <v>74</v>
      </c>
      <c r="S26" t="s">
        <v>74</v>
      </c>
      <c r="T26" t="s">
        <v>447</v>
      </c>
      <c r="U26" t="s">
        <v>448</v>
      </c>
      <c r="V26" t="s">
        <v>449</v>
      </c>
      <c r="W26" t="s">
        <v>450</v>
      </c>
      <c r="X26" t="s">
        <v>451</v>
      </c>
      <c r="Y26" t="s">
        <v>452</v>
      </c>
      <c r="Z26" t="s">
        <v>453</v>
      </c>
      <c r="AA26" t="s">
        <v>454</v>
      </c>
      <c r="AB26" t="s">
        <v>455</v>
      </c>
      <c r="AC26" t="s">
        <v>74</v>
      </c>
      <c r="AD26" t="s">
        <v>74</v>
      </c>
      <c r="AE26" t="s">
        <v>74</v>
      </c>
      <c r="AF26" t="s">
        <v>74</v>
      </c>
      <c r="AG26">
        <v>78</v>
      </c>
      <c r="AH26">
        <v>192</v>
      </c>
      <c r="AI26">
        <v>211</v>
      </c>
      <c r="AJ26">
        <v>0</v>
      </c>
      <c r="AK26">
        <v>56</v>
      </c>
      <c r="AL26" t="s">
        <v>239</v>
      </c>
      <c r="AM26" t="s">
        <v>240</v>
      </c>
      <c r="AN26" t="s">
        <v>241</v>
      </c>
      <c r="AO26" t="s">
        <v>321</v>
      </c>
      <c r="AP26" t="s">
        <v>439</v>
      </c>
      <c r="AQ26" t="s">
        <v>74</v>
      </c>
      <c r="AR26" t="s">
        <v>311</v>
      </c>
      <c r="AS26" t="s">
        <v>322</v>
      </c>
      <c r="AT26" t="s">
        <v>440</v>
      </c>
      <c r="AU26">
        <v>2004</v>
      </c>
      <c r="AV26">
        <v>19</v>
      </c>
      <c r="AW26">
        <v>4</v>
      </c>
      <c r="AX26" t="s">
        <v>74</v>
      </c>
      <c r="AY26" t="s">
        <v>74</v>
      </c>
      <c r="AZ26" t="s">
        <v>74</v>
      </c>
      <c r="BA26" t="s">
        <v>74</v>
      </c>
      <c r="BB26" t="s">
        <v>74</v>
      </c>
      <c r="BC26" t="s">
        <v>74</v>
      </c>
      <c r="BD26" t="s">
        <v>456</v>
      </c>
      <c r="BE26" t="s">
        <v>457</v>
      </c>
      <c r="BF26" t="str">
        <f>HYPERLINK("http://dx.doi.org/10.1029/2004PA001022","http://dx.doi.org/10.1029/2004PA001022")</f>
        <v>http://dx.doi.org/10.1029/2004PA001022</v>
      </c>
      <c r="BG26" t="s">
        <v>74</v>
      </c>
      <c r="BH26" t="s">
        <v>74</v>
      </c>
      <c r="BI26">
        <v>18</v>
      </c>
      <c r="BJ26" t="s">
        <v>326</v>
      </c>
      <c r="BK26" t="s">
        <v>139</v>
      </c>
      <c r="BL26" t="s">
        <v>327</v>
      </c>
      <c r="BM26" t="s">
        <v>443</v>
      </c>
      <c r="BN26" t="s">
        <v>74</v>
      </c>
      <c r="BO26" t="s">
        <v>207</v>
      </c>
      <c r="BP26" t="s">
        <v>74</v>
      </c>
      <c r="BQ26" t="s">
        <v>74</v>
      </c>
      <c r="BR26" t="s">
        <v>98</v>
      </c>
      <c r="BS26" t="s">
        <v>458</v>
      </c>
      <c r="BT26" t="str">
        <f>HYPERLINK("https%3A%2F%2Fwww.webofscience.com%2Fwos%2Fwoscc%2Ffull-record%2FWOS:000225884500002","View Full Record in Web of Science")</f>
        <v>View Full Record in Web of Science</v>
      </c>
    </row>
    <row r="27" spans="1:72" x14ac:dyDescent="0.15">
      <c r="A27" t="s">
        <v>122</v>
      </c>
      <c r="B27" t="s">
        <v>459</v>
      </c>
      <c r="C27" t="s">
        <v>74</v>
      </c>
      <c r="D27" t="s">
        <v>74</v>
      </c>
      <c r="E27" t="s">
        <v>74</v>
      </c>
      <c r="F27" t="s">
        <v>459</v>
      </c>
      <c r="G27" t="s">
        <v>74</v>
      </c>
      <c r="H27" t="s">
        <v>74</v>
      </c>
      <c r="I27" t="s">
        <v>460</v>
      </c>
      <c r="J27" t="s">
        <v>230</v>
      </c>
      <c r="K27" t="s">
        <v>74</v>
      </c>
      <c r="L27" t="s">
        <v>74</v>
      </c>
      <c r="M27" t="s">
        <v>79</v>
      </c>
      <c r="N27" t="s">
        <v>126</v>
      </c>
      <c r="O27" t="s">
        <v>74</v>
      </c>
      <c r="P27" t="s">
        <v>74</v>
      </c>
      <c r="Q27" t="s">
        <v>74</v>
      </c>
      <c r="R27" t="s">
        <v>74</v>
      </c>
      <c r="S27" t="s">
        <v>74</v>
      </c>
      <c r="T27" t="s">
        <v>74</v>
      </c>
      <c r="U27" t="s">
        <v>461</v>
      </c>
      <c r="V27" t="s">
        <v>74</v>
      </c>
      <c r="W27" t="s">
        <v>462</v>
      </c>
      <c r="X27" t="s">
        <v>463</v>
      </c>
      <c r="Y27" t="s">
        <v>464</v>
      </c>
      <c r="Z27" t="s">
        <v>465</v>
      </c>
      <c r="AA27" t="s">
        <v>466</v>
      </c>
      <c r="AB27" t="s">
        <v>467</v>
      </c>
      <c r="AC27" t="s">
        <v>74</v>
      </c>
      <c r="AD27" t="s">
        <v>74</v>
      </c>
      <c r="AE27" t="s">
        <v>74</v>
      </c>
      <c r="AF27" t="s">
        <v>74</v>
      </c>
      <c r="AG27">
        <v>21</v>
      </c>
      <c r="AH27">
        <v>20</v>
      </c>
      <c r="AI27">
        <v>25</v>
      </c>
      <c r="AJ27">
        <v>0</v>
      </c>
      <c r="AK27">
        <v>9</v>
      </c>
      <c r="AL27" t="s">
        <v>239</v>
      </c>
      <c r="AM27" t="s">
        <v>240</v>
      </c>
      <c r="AN27" t="s">
        <v>241</v>
      </c>
      <c r="AO27" t="s">
        <v>242</v>
      </c>
      <c r="AP27" t="s">
        <v>74</v>
      </c>
      <c r="AQ27" t="s">
        <v>74</v>
      </c>
      <c r="AR27" t="s">
        <v>243</v>
      </c>
      <c r="AS27" t="s">
        <v>244</v>
      </c>
      <c r="AT27" t="s">
        <v>468</v>
      </c>
      <c r="AU27">
        <v>2004</v>
      </c>
      <c r="AV27">
        <v>31</v>
      </c>
      <c r="AW27">
        <v>24</v>
      </c>
      <c r="AX27" t="s">
        <v>74</v>
      </c>
      <c r="AY27" t="s">
        <v>74</v>
      </c>
      <c r="AZ27" t="s">
        <v>74</v>
      </c>
      <c r="BA27" t="s">
        <v>74</v>
      </c>
      <c r="BB27" t="s">
        <v>74</v>
      </c>
      <c r="BC27" t="s">
        <v>74</v>
      </c>
      <c r="BD27" t="s">
        <v>469</v>
      </c>
      <c r="BE27" t="s">
        <v>470</v>
      </c>
      <c r="BF27" t="str">
        <f>HYPERLINK("http://dx.doi.org/10.1029/2004GL021102","http://dx.doi.org/10.1029/2004GL021102")</f>
        <v>http://dx.doi.org/10.1029/2004GL021102</v>
      </c>
      <c r="BG27" t="s">
        <v>74</v>
      </c>
      <c r="BH27" t="s">
        <v>74</v>
      </c>
      <c r="BI27">
        <v>4</v>
      </c>
      <c r="BJ27" t="s">
        <v>248</v>
      </c>
      <c r="BK27" t="s">
        <v>139</v>
      </c>
      <c r="BL27" t="s">
        <v>249</v>
      </c>
      <c r="BM27" t="s">
        <v>471</v>
      </c>
      <c r="BN27" t="s">
        <v>74</v>
      </c>
      <c r="BO27" t="s">
        <v>207</v>
      </c>
      <c r="BP27" t="s">
        <v>74</v>
      </c>
      <c r="BQ27" t="s">
        <v>74</v>
      </c>
      <c r="BR27" t="s">
        <v>98</v>
      </c>
      <c r="BS27" t="s">
        <v>472</v>
      </c>
      <c r="BT27" t="str">
        <f>HYPERLINK("https%3A%2F%2Fwww.webofscience.com%2Fwos%2Fwoscc%2Ffull-record%2FWOS:000225882100004","View Full Record in Web of Science")</f>
        <v>View Full Record in Web of Science</v>
      </c>
    </row>
    <row r="28" spans="1:72" x14ac:dyDescent="0.15">
      <c r="A28" t="s">
        <v>122</v>
      </c>
      <c r="B28" t="s">
        <v>473</v>
      </c>
      <c r="C28" t="s">
        <v>74</v>
      </c>
      <c r="D28" t="s">
        <v>74</v>
      </c>
      <c r="E28" t="s">
        <v>74</v>
      </c>
      <c r="F28" t="s">
        <v>473</v>
      </c>
      <c r="G28" t="s">
        <v>74</v>
      </c>
      <c r="H28" t="s">
        <v>74</v>
      </c>
      <c r="I28" t="s">
        <v>474</v>
      </c>
      <c r="J28" t="s">
        <v>475</v>
      </c>
      <c r="K28" t="s">
        <v>74</v>
      </c>
      <c r="L28" t="s">
        <v>74</v>
      </c>
      <c r="M28" t="s">
        <v>79</v>
      </c>
      <c r="N28" t="s">
        <v>126</v>
      </c>
      <c r="O28" t="s">
        <v>74</v>
      </c>
      <c r="P28" t="s">
        <v>74</v>
      </c>
      <c r="Q28" t="s">
        <v>74</v>
      </c>
      <c r="R28" t="s">
        <v>74</v>
      </c>
      <c r="S28" t="s">
        <v>74</v>
      </c>
      <c r="T28" t="s">
        <v>476</v>
      </c>
      <c r="U28" t="s">
        <v>477</v>
      </c>
      <c r="V28" t="s">
        <v>478</v>
      </c>
      <c r="W28" t="s">
        <v>479</v>
      </c>
      <c r="X28" t="s">
        <v>480</v>
      </c>
      <c r="Y28" t="s">
        <v>481</v>
      </c>
      <c r="Z28" t="s">
        <v>482</v>
      </c>
      <c r="AA28" t="s">
        <v>74</v>
      </c>
      <c r="AB28" t="s">
        <v>483</v>
      </c>
      <c r="AC28" t="s">
        <v>74</v>
      </c>
      <c r="AD28" t="s">
        <v>74</v>
      </c>
      <c r="AE28" t="s">
        <v>74</v>
      </c>
      <c r="AF28" t="s">
        <v>74</v>
      </c>
      <c r="AG28">
        <v>22</v>
      </c>
      <c r="AH28">
        <v>26</v>
      </c>
      <c r="AI28">
        <v>26</v>
      </c>
      <c r="AJ28">
        <v>0</v>
      </c>
      <c r="AK28">
        <v>2</v>
      </c>
      <c r="AL28" t="s">
        <v>239</v>
      </c>
      <c r="AM28" t="s">
        <v>240</v>
      </c>
      <c r="AN28" t="s">
        <v>241</v>
      </c>
      <c r="AO28" t="s">
        <v>484</v>
      </c>
      <c r="AP28" t="s">
        <v>485</v>
      </c>
      <c r="AQ28" t="s">
        <v>74</v>
      </c>
      <c r="AR28" t="s">
        <v>486</v>
      </c>
      <c r="AS28" t="s">
        <v>487</v>
      </c>
      <c r="AT28" t="s">
        <v>468</v>
      </c>
      <c r="AU28">
        <v>2004</v>
      </c>
      <c r="AV28">
        <v>109</v>
      </c>
      <c r="AW28" t="s">
        <v>488</v>
      </c>
      <c r="AX28" t="s">
        <v>74</v>
      </c>
      <c r="AY28" t="s">
        <v>74</v>
      </c>
      <c r="AZ28" t="s">
        <v>74</v>
      </c>
      <c r="BA28" t="s">
        <v>74</v>
      </c>
      <c r="BB28" t="s">
        <v>74</v>
      </c>
      <c r="BC28" t="s">
        <v>74</v>
      </c>
      <c r="BD28" t="s">
        <v>489</v>
      </c>
      <c r="BE28" t="s">
        <v>490</v>
      </c>
      <c r="BF28" t="str">
        <f>HYPERLINK("http://dx.doi.org/10.1029/2004JA010493","http://dx.doi.org/10.1029/2004JA010493")</f>
        <v>http://dx.doi.org/10.1029/2004JA010493</v>
      </c>
      <c r="BG28" t="s">
        <v>74</v>
      </c>
      <c r="BH28" t="s">
        <v>74</v>
      </c>
      <c r="BI28">
        <v>6</v>
      </c>
      <c r="BJ28" t="s">
        <v>491</v>
      </c>
      <c r="BK28" t="s">
        <v>139</v>
      </c>
      <c r="BL28" t="s">
        <v>491</v>
      </c>
      <c r="BM28" t="s">
        <v>492</v>
      </c>
      <c r="BN28" t="s">
        <v>74</v>
      </c>
      <c r="BO28" t="s">
        <v>273</v>
      </c>
      <c r="BP28" t="s">
        <v>74</v>
      </c>
      <c r="BQ28" t="s">
        <v>74</v>
      </c>
      <c r="BR28" t="s">
        <v>98</v>
      </c>
      <c r="BS28" t="s">
        <v>493</v>
      </c>
      <c r="BT28" t="str">
        <f>HYPERLINK("https%3A%2F%2Fwww.webofscience.com%2Fwos%2Fwoscc%2Ffull-record%2FWOS:000225883900001","View Full Record in Web of Science")</f>
        <v>View Full Record in Web of Science</v>
      </c>
    </row>
    <row r="29" spans="1:72" x14ac:dyDescent="0.15">
      <c r="A29" t="s">
        <v>122</v>
      </c>
      <c r="B29" t="s">
        <v>494</v>
      </c>
      <c r="C29" t="s">
        <v>74</v>
      </c>
      <c r="D29" t="s">
        <v>74</v>
      </c>
      <c r="E29" t="s">
        <v>74</v>
      </c>
      <c r="F29" t="s">
        <v>494</v>
      </c>
      <c r="G29" t="s">
        <v>74</v>
      </c>
      <c r="H29" t="s">
        <v>74</v>
      </c>
      <c r="I29" t="s">
        <v>495</v>
      </c>
      <c r="J29" t="s">
        <v>496</v>
      </c>
      <c r="K29" t="s">
        <v>74</v>
      </c>
      <c r="L29" t="s">
        <v>74</v>
      </c>
      <c r="M29" t="s">
        <v>79</v>
      </c>
      <c r="N29" t="s">
        <v>126</v>
      </c>
      <c r="O29" t="s">
        <v>74</v>
      </c>
      <c r="P29" t="s">
        <v>74</v>
      </c>
      <c r="Q29" t="s">
        <v>74</v>
      </c>
      <c r="R29" t="s">
        <v>74</v>
      </c>
      <c r="S29" t="s">
        <v>74</v>
      </c>
      <c r="T29" t="s">
        <v>497</v>
      </c>
      <c r="U29" t="s">
        <v>498</v>
      </c>
      <c r="V29" t="s">
        <v>499</v>
      </c>
      <c r="W29" t="s">
        <v>500</v>
      </c>
      <c r="X29" t="s">
        <v>501</v>
      </c>
      <c r="Y29" t="s">
        <v>502</v>
      </c>
      <c r="Z29" t="s">
        <v>503</v>
      </c>
      <c r="AA29" t="s">
        <v>504</v>
      </c>
      <c r="AB29" t="s">
        <v>505</v>
      </c>
      <c r="AC29" t="s">
        <v>74</v>
      </c>
      <c r="AD29" t="s">
        <v>74</v>
      </c>
      <c r="AE29" t="s">
        <v>74</v>
      </c>
      <c r="AF29" t="s">
        <v>74</v>
      </c>
      <c r="AG29">
        <v>55</v>
      </c>
      <c r="AH29">
        <v>68</v>
      </c>
      <c r="AI29">
        <v>78</v>
      </c>
      <c r="AJ29">
        <v>1</v>
      </c>
      <c r="AK29">
        <v>27</v>
      </c>
      <c r="AL29" t="s">
        <v>506</v>
      </c>
      <c r="AM29" t="s">
        <v>507</v>
      </c>
      <c r="AN29" t="s">
        <v>508</v>
      </c>
      <c r="AO29" t="s">
        <v>509</v>
      </c>
      <c r="AP29" t="s">
        <v>510</v>
      </c>
      <c r="AQ29" t="s">
        <v>74</v>
      </c>
      <c r="AR29" t="s">
        <v>511</v>
      </c>
      <c r="AS29" t="s">
        <v>512</v>
      </c>
      <c r="AT29" t="s">
        <v>513</v>
      </c>
      <c r="AU29">
        <v>2004</v>
      </c>
      <c r="AV29">
        <v>37</v>
      </c>
      <c r="AW29">
        <v>3</v>
      </c>
      <c r="AX29" t="s">
        <v>74</v>
      </c>
      <c r="AY29" t="s">
        <v>74</v>
      </c>
      <c r="AZ29" t="s">
        <v>74</v>
      </c>
      <c r="BA29" t="s">
        <v>74</v>
      </c>
      <c r="BB29">
        <v>247</v>
      </c>
      <c r="BC29">
        <v>263</v>
      </c>
      <c r="BD29" t="s">
        <v>74</v>
      </c>
      <c r="BE29" t="s">
        <v>514</v>
      </c>
      <c r="BF29" t="str">
        <f>HYPERLINK("http://dx.doi.org/10.3354/ame037247","http://dx.doi.org/10.3354/ame037247")</f>
        <v>http://dx.doi.org/10.3354/ame037247</v>
      </c>
      <c r="BG29" t="s">
        <v>74</v>
      </c>
      <c r="BH29" t="s">
        <v>74</v>
      </c>
      <c r="BI29">
        <v>17</v>
      </c>
      <c r="BJ29" t="s">
        <v>515</v>
      </c>
      <c r="BK29" t="s">
        <v>139</v>
      </c>
      <c r="BL29" t="s">
        <v>516</v>
      </c>
      <c r="BM29" t="s">
        <v>517</v>
      </c>
      <c r="BN29" t="s">
        <v>74</v>
      </c>
      <c r="BO29" t="s">
        <v>518</v>
      </c>
      <c r="BP29" t="s">
        <v>74</v>
      </c>
      <c r="BQ29" t="s">
        <v>74</v>
      </c>
      <c r="BR29" t="s">
        <v>98</v>
      </c>
      <c r="BS29" t="s">
        <v>519</v>
      </c>
      <c r="BT29" t="str">
        <f>HYPERLINK("https%3A%2F%2Fwww.webofscience.com%2Fwos%2Fwoscc%2Ffull-record%2FWOS:000226292400004","View Full Record in Web of Science")</f>
        <v>View Full Record in Web of Science</v>
      </c>
    </row>
    <row r="30" spans="1:72" x14ac:dyDescent="0.15">
      <c r="A30" t="s">
        <v>122</v>
      </c>
      <c r="B30" t="s">
        <v>520</v>
      </c>
      <c r="C30" t="s">
        <v>74</v>
      </c>
      <c r="D30" t="s">
        <v>74</v>
      </c>
      <c r="E30" t="s">
        <v>74</v>
      </c>
      <c r="F30" t="s">
        <v>520</v>
      </c>
      <c r="G30" t="s">
        <v>74</v>
      </c>
      <c r="H30" t="s">
        <v>74</v>
      </c>
      <c r="I30" t="s">
        <v>521</v>
      </c>
      <c r="J30" t="s">
        <v>522</v>
      </c>
      <c r="K30" t="s">
        <v>74</v>
      </c>
      <c r="L30" t="s">
        <v>74</v>
      </c>
      <c r="M30" t="s">
        <v>79</v>
      </c>
      <c r="N30" t="s">
        <v>126</v>
      </c>
      <c r="O30" t="s">
        <v>74</v>
      </c>
      <c r="P30" t="s">
        <v>74</v>
      </c>
      <c r="Q30" t="s">
        <v>74</v>
      </c>
      <c r="R30" t="s">
        <v>74</v>
      </c>
      <c r="S30" t="s">
        <v>74</v>
      </c>
      <c r="T30" t="s">
        <v>523</v>
      </c>
      <c r="U30" t="s">
        <v>524</v>
      </c>
      <c r="V30" t="s">
        <v>525</v>
      </c>
      <c r="W30" t="s">
        <v>526</v>
      </c>
      <c r="X30" t="s">
        <v>527</v>
      </c>
      <c r="Y30" t="s">
        <v>528</v>
      </c>
      <c r="Z30" t="s">
        <v>529</v>
      </c>
      <c r="AA30" t="s">
        <v>530</v>
      </c>
      <c r="AB30" t="s">
        <v>74</v>
      </c>
      <c r="AC30" t="s">
        <v>74</v>
      </c>
      <c r="AD30" t="s">
        <v>74</v>
      </c>
      <c r="AE30" t="s">
        <v>74</v>
      </c>
      <c r="AF30" t="s">
        <v>74</v>
      </c>
      <c r="AG30">
        <v>88</v>
      </c>
      <c r="AH30">
        <v>109</v>
      </c>
      <c r="AI30">
        <v>129</v>
      </c>
      <c r="AJ30">
        <v>0</v>
      </c>
      <c r="AK30">
        <v>57</v>
      </c>
      <c r="AL30" t="s">
        <v>531</v>
      </c>
      <c r="AM30" t="s">
        <v>532</v>
      </c>
      <c r="AN30" t="s">
        <v>533</v>
      </c>
      <c r="AO30" t="s">
        <v>534</v>
      </c>
      <c r="AP30" t="s">
        <v>535</v>
      </c>
      <c r="AQ30" t="s">
        <v>74</v>
      </c>
      <c r="AR30" t="s">
        <v>536</v>
      </c>
      <c r="AS30" t="s">
        <v>537</v>
      </c>
      <c r="AT30" t="s">
        <v>513</v>
      </c>
      <c r="AU30">
        <v>2004</v>
      </c>
      <c r="AV30">
        <v>228</v>
      </c>
      <c r="AW30" t="s">
        <v>538</v>
      </c>
      <c r="AX30" t="s">
        <v>74</v>
      </c>
      <c r="AY30" t="s">
        <v>74</v>
      </c>
      <c r="AZ30" t="s">
        <v>74</v>
      </c>
      <c r="BA30" t="s">
        <v>74</v>
      </c>
      <c r="BB30">
        <v>391</v>
      </c>
      <c r="BC30">
        <v>405</v>
      </c>
      <c r="BD30" t="s">
        <v>74</v>
      </c>
      <c r="BE30" t="s">
        <v>539</v>
      </c>
      <c r="BF30" t="str">
        <f>HYPERLINK("http://dx.doi.org/10.1016/j.epsl.2004.10.016","http://dx.doi.org/10.1016/j.epsl.2004.10.016")</f>
        <v>http://dx.doi.org/10.1016/j.epsl.2004.10.016</v>
      </c>
      <c r="BG30" t="s">
        <v>74</v>
      </c>
      <c r="BH30" t="s">
        <v>74</v>
      </c>
      <c r="BI30">
        <v>15</v>
      </c>
      <c r="BJ30" t="s">
        <v>271</v>
      </c>
      <c r="BK30" t="s">
        <v>139</v>
      </c>
      <c r="BL30" t="s">
        <v>271</v>
      </c>
      <c r="BM30" t="s">
        <v>540</v>
      </c>
      <c r="BN30" t="s">
        <v>74</v>
      </c>
      <c r="BO30" t="s">
        <v>74</v>
      </c>
      <c r="BP30" t="s">
        <v>74</v>
      </c>
      <c r="BQ30" t="s">
        <v>74</v>
      </c>
      <c r="BR30" t="s">
        <v>98</v>
      </c>
      <c r="BS30" t="s">
        <v>541</v>
      </c>
      <c r="BT30" t="str">
        <f>HYPERLINK("https%3A%2F%2Fwww.webofscience.com%2Fwos%2Fwoscc%2Ffull-record%2FWOS:000225936100014","View Full Record in Web of Science")</f>
        <v>View Full Record in Web of Science</v>
      </c>
    </row>
    <row r="31" spans="1:72" x14ac:dyDescent="0.15">
      <c r="A31" t="s">
        <v>122</v>
      </c>
      <c r="B31" t="s">
        <v>542</v>
      </c>
      <c r="C31" t="s">
        <v>74</v>
      </c>
      <c r="D31" t="s">
        <v>74</v>
      </c>
      <c r="E31" t="s">
        <v>74</v>
      </c>
      <c r="F31" t="s">
        <v>542</v>
      </c>
      <c r="G31" t="s">
        <v>74</v>
      </c>
      <c r="H31" t="s">
        <v>74</v>
      </c>
      <c r="I31" t="s">
        <v>543</v>
      </c>
      <c r="J31" t="s">
        <v>522</v>
      </c>
      <c r="K31" t="s">
        <v>74</v>
      </c>
      <c r="L31" t="s">
        <v>74</v>
      </c>
      <c r="M31" t="s">
        <v>79</v>
      </c>
      <c r="N31" t="s">
        <v>126</v>
      </c>
      <c r="O31" t="s">
        <v>74</v>
      </c>
      <c r="P31" t="s">
        <v>74</v>
      </c>
      <c r="Q31" t="s">
        <v>74</v>
      </c>
      <c r="R31" t="s">
        <v>74</v>
      </c>
      <c r="S31" t="s">
        <v>74</v>
      </c>
      <c r="T31" t="s">
        <v>544</v>
      </c>
      <c r="U31" t="s">
        <v>545</v>
      </c>
      <c r="V31" t="s">
        <v>546</v>
      </c>
      <c r="W31" t="s">
        <v>547</v>
      </c>
      <c r="X31" t="s">
        <v>548</v>
      </c>
      <c r="Y31" t="s">
        <v>549</v>
      </c>
      <c r="Z31" t="s">
        <v>550</v>
      </c>
      <c r="AA31" t="s">
        <v>74</v>
      </c>
      <c r="AB31" t="s">
        <v>74</v>
      </c>
      <c r="AC31" t="s">
        <v>74</v>
      </c>
      <c r="AD31" t="s">
        <v>74</v>
      </c>
      <c r="AE31" t="s">
        <v>74</v>
      </c>
      <c r="AF31" t="s">
        <v>74</v>
      </c>
      <c r="AG31">
        <v>74</v>
      </c>
      <c r="AH31">
        <v>99</v>
      </c>
      <c r="AI31">
        <v>109</v>
      </c>
      <c r="AJ31">
        <v>2</v>
      </c>
      <c r="AK31">
        <v>44</v>
      </c>
      <c r="AL31" t="s">
        <v>531</v>
      </c>
      <c r="AM31" t="s">
        <v>532</v>
      </c>
      <c r="AN31" t="s">
        <v>533</v>
      </c>
      <c r="AO31" t="s">
        <v>534</v>
      </c>
      <c r="AP31" t="s">
        <v>535</v>
      </c>
      <c r="AQ31" t="s">
        <v>74</v>
      </c>
      <c r="AR31" t="s">
        <v>536</v>
      </c>
      <c r="AS31" t="s">
        <v>537</v>
      </c>
      <c r="AT31" t="s">
        <v>513</v>
      </c>
      <c r="AU31">
        <v>2004</v>
      </c>
      <c r="AV31">
        <v>228</v>
      </c>
      <c r="AW31" t="s">
        <v>538</v>
      </c>
      <c r="AX31" t="s">
        <v>74</v>
      </c>
      <c r="AY31" t="s">
        <v>74</v>
      </c>
      <c r="AZ31" t="s">
        <v>74</v>
      </c>
      <c r="BA31" t="s">
        <v>74</v>
      </c>
      <c r="BB31">
        <v>407</v>
      </c>
      <c r="BC31">
        <v>424</v>
      </c>
      <c r="BD31" t="s">
        <v>74</v>
      </c>
      <c r="BE31" t="s">
        <v>551</v>
      </c>
      <c r="BF31" t="str">
        <f>HYPERLINK("http://dx.doi.org/10.1016/j.epsl.2004.10.003","http://dx.doi.org/10.1016/j.epsl.2004.10.003")</f>
        <v>http://dx.doi.org/10.1016/j.epsl.2004.10.003</v>
      </c>
      <c r="BG31" t="s">
        <v>74</v>
      </c>
      <c r="BH31" t="s">
        <v>74</v>
      </c>
      <c r="BI31">
        <v>18</v>
      </c>
      <c r="BJ31" t="s">
        <v>271</v>
      </c>
      <c r="BK31" t="s">
        <v>139</v>
      </c>
      <c r="BL31" t="s">
        <v>271</v>
      </c>
      <c r="BM31" t="s">
        <v>540</v>
      </c>
      <c r="BN31" t="s">
        <v>74</v>
      </c>
      <c r="BO31" t="s">
        <v>74</v>
      </c>
      <c r="BP31" t="s">
        <v>74</v>
      </c>
      <c r="BQ31" t="s">
        <v>74</v>
      </c>
      <c r="BR31" t="s">
        <v>98</v>
      </c>
      <c r="BS31" t="s">
        <v>552</v>
      </c>
      <c r="BT31" t="str">
        <f>HYPERLINK("https%3A%2F%2Fwww.webofscience.com%2Fwos%2Fwoscc%2Ffull-record%2FWOS:000225936100015","View Full Record in Web of Science")</f>
        <v>View Full Record in Web of Science</v>
      </c>
    </row>
    <row r="32" spans="1:72" x14ac:dyDescent="0.15">
      <c r="A32" t="s">
        <v>122</v>
      </c>
      <c r="B32" t="s">
        <v>553</v>
      </c>
      <c r="C32" t="s">
        <v>74</v>
      </c>
      <c r="D32" t="s">
        <v>74</v>
      </c>
      <c r="E32" t="s">
        <v>74</v>
      </c>
      <c r="F32" t="s">
        <v>553</v>
      </c>
      <c r="G32" t="s">
        <v>74</v>
      </c>
      <c r="H32" t="s">
        <v>74</v>
      </c>
      <c r="I32" t="s">
        <v>554</v>
      </c>
      <c r="J32" t="s">
        <v>522</v>
      </c>
      <c r="K32" t="s">
        <v>74</v>
      </c>
      <c r="L32" t="s">
        <v>74</v>
      </c>
      <c r="M32" t="s">
        <v>79</v>
      </c>
      <c r="N32" t="s">
        <v>126</v>
      </c>
      <c r="O32" t="s">
        <v>74</v>
      </c>
      <c r="P32" t="s">
        <v>74</v>
      </c>
      <c r="Q32" t="s">
        <v>74</v>
      </c>
      <c r="R32" t="s">
        <v>74</v>
      </c>
      <c r="S32" t="s">
        <v>74</v>
      </c>
      <c r="T32" t="s">
        <v>555</v>
      </c>
      <c r="U32" t="s">
        <v>556</v>
      </c>
      <c r="V32" t="s">
        <v>557</v>
      </c>
      <c r="W32" t="s">
        <v>558</v>
      </c>
      <c r="X32" t="s">
        <v>559</v>
      </c>
      <c r="Y32" t="s">
        <v>560</v>
      </c>
      <c r="Z32" t="s">
        <v>561</v>
      </c>
      <c r="AA32" t="s">
        <v>74</v>
      </c>
      <c r="AB32" t="s">
        <v>74</v>
      </c>
      <c r="AC32" t="s">
        <v>74</v>
      </c>
      <c r="AD32" t="s">
        <v>74</v>
      </c>
      <c r="AE32" t="s">
        <v>74</v>
      </c>
      <c r="AF32" t="s">
        <v>74</v>
      </c>
      <c r="AG32">
        <v>21</v>
      </c>
      <c r="AH32">
        <v>12</v>
      </c>
      <c r="AI32">
        <v>23</v>
      </c>
      <c r="AJ32">
        <v>0</v>
      </c>
      <c r="AK32">
        <v>8</v>
      </c>
      <c r="AL32" t="s">
        <v>562</v>
      </c>
      <c r="AM32" t="s">
        <v>532</v>
      </c>
      <c r="AN32" t="s">
        <v>563</v>
      </c>
      <c r="AO32" t="s">
        <v>534</v>
      </c>
      <c r="AP32" t="s">
        <v>74</v>
      </c>
      <c r="AQ32" t="s">
        <v>74</v>
      </c>
      <c r="AR32" t="s">
        <v>536</v>
      </c>
      <c r="AS32" t="s">
        <v>537</v>
      </c>
      <c r="AT32" t="s">
        <v>513</v>
      </c>
      <c r="AU32">
        <v>2004</v>
      </c>
      <c r="AV32">
        <v>228</v>
      </c>
      <c r="AW32" t="s">
        <v>538</v>
      </c>
      <c r="AX32" t="s">
        <v>74</v>
      </c>
      <c r="AY32" t="s">
        <v>74</v>
      </c>
      <c r="AZ32" t="s">
        <v>74</v>
      </c>
      <c r="BA32" t="s">
        <v>74</v>
      </c>
      <c r="BB32">
        <v>425</v>
      </c>
      <c r="BC32">
        <v>438</v>
      </c>
      <c r="BD32" t="s">
        <v>74</v>
      </c>
      <c r="BE32" t="s">
        <v>564</v>
      </c>
      <c r="BF32" t="str">
        <f>HYPERLINK("http://dx.doi.org/10.1016/j.epsl.2004.10.014","http://dx.doi.org/10.1016/j.epsl.2004.10.014")</f>
        <v>http://dx.doi.org/10.1016/j.epsl.2004.10.014</v>
      </c>
      <c r="BG32" t="s">
        <v>74</v>
      </c>
      <c r="BH32" t="s">
        <v>74</v>
      </c>
      <c r="BI32">
        <v>14</v>
      </c>
      <c r="BJ32" t="s">
        <v>271</v>
      </c>
      <c r="BK32" t="s">
        <v>139</v>
      </c>
      <c r="BL32" t="s">
        <v>271</v>
      </c>
      <c r="BM32" t="s">
        <v>540</v>
      </c>
      <c r="BN32" t="s">
        <v>74</v>
      </c>
      <c r="BO32" t="s">
        <v>74</v>
      </c>
      <c r="BP32" t="s">
        <v>74</v>
      </c>
      <c r="BQ32" t="s">
        <v>74</v>
      </c>
      <c r="BR32" t="s">
        <v>98</v>
      </c>
      <c r="BS32" t="s">
        <v>565</v>
      </c>
      <c r="BT32" t="str">
        <f>HYPERLINK("https%3A%2F%2Fwww.webofscience.com%2Fwos%2Fwoscc%2Ffull-record%2FWOS:000225936100016","View Full Record in Web of Science")</f>
        <v>View Full Record in Web of Science</v>
      </c>
    </row>
    <row r="33" spans="1:72" x14ac:dyDescent="0.15">
      <c r="A33" t="s">
        <v>122</v>
      </c>
      <c r="B33" t="s">
        <v>566</v>
      </c>
      <c r="C33" t="s">
        <v>74</v>
      </c>
      <c r="D33" t="s">
        <v>74</v>
      </c>
      <c r="E33" t="s">
        <v>74</v>
      </c>
      <c r="F33" t="s">
        <v>566</v>
      </c>
      <c r="G33" t="s">
        <v>74</v>
      </c>
      <c r="H33" t="s">
        <v>74</v>
      </c>
      <c r="I33" t="s">
        <v>567</v>
      </c>
      <c r="J33" t="s">
        <v>230</v>
      </c>
      <c r="K33" t="s">
        <v>74</v>
      </c>
      <c r="L33" t="s">
        <v>74</v>
      </c>
      <c r="M33" t="s">
        <v>79</v>
      </c>
      <c r="N33" t="s">
        <v>126</v>
      </c>
      <c r="O33" t="s">
        <v>74</v>
      </c>
      <c r="P33" t="s">
        <v>74</v>
      </c>
      <c r="Q33" t="s">
        <v>74</v>
      </c>
      <c r="R33" t="s">
        <v>74</v>
      </c>
      <c r="S33" t="s">
        <v>74</v>
      </c>
      <c r="T33" t="s">
        <v>74</v>
      </c>
      <c r="U33" t="s">
        <v>568</v>
      </c>
      <c r="V33" t="s">
        <v>569</v>
      </c>
      <c r="W33" t="s">
        <v>570</v>
      </c>
      <c r="X33" t="s">
        <v>571</v>
      </c>
      <c r="Y33" t="s">
        <v>572</v>
      </c>
      <c r="Z33" t="s">
        <v>573</v>
      </c>
      <c r="AA33" t="s">
        <v>74</v>
      </c>
      <c r="AB33" t="s">
        <v>74</v>
      </c>
      <c r="AC33" t="s">
        <v>74</v>
      </c>
      <c r="AD33" t="s">
        <v>74</v>
      </c>
      <c r="AE33" t="s">
        <v>74</v>
      </c>
      <c r="AF33" t="s">
        <v>74</v>
      </c>
      <c r="AG33">
        <v>16</v>
      </c>
      <c r="AH33">
        <v>135</v>
      </c>
      <c r="AI33">
        <v>141</v>
      </c>
      <c r="AJ33">
        <v>0</v>
      </c>
      <c r="AK33">
        <v>32</v>
      </c>
      <c r="AL33" t="s">
        <v>239</v>
      </c>
      <c r="AM33" t="s">
        <v>240</v>
      </c>
      <c r="AN33" t="s">
        <v>241</v>
      </c>
      <c r="AO33" t="s">
        <v>242</v>
      </c>
      <c r="AP33" t="s">
        <v>74</v>
      </c>
      <c r="AQ33" t="s">
        <v>74</v>
      </c>
      <c r="AR33" t="s">
        <v>243</v>
      </c>
      <c r="AS33" t="s">
        <v>244</v>
      </c>
      <c r="AT33" t="s">
        <v>513</v>
      </c>
      <c r="AU33">
        <v>2004</v>
      </c>
      <c r="AV33">
        <v>31</v>
      </c>
      <c r="AW33">
        <v>23</v>
      </c>
      <c r="AX33" t="s">
        <v>74</v>
      </c>
      <c r="AY33" t="s">
        <v>74</v>
      </c>
      <c r="AZ33" t="s">
        <v>74</v>
      </c>
      <c r="BA33" t="s">
        <v>74</v>
      </c>
      <c r="BB33" t="s">
        <v>74</v>
      </c>
      <c r="BC33" t="s">
        <v>74</v>
      </c>
      <c r="BD33" t="s">
        <v>574</v>
      </c>
      <c r="BE33" t="s">
        <v>575</v>
      </c>
      <c r="BF33" t="str">
        <f>HYPERLINK("http://dx.doi.org/10.1029/2004GL020365","http://dx.doi.org/10.1029/2004GL020365")</f>
        <v>http://dx.doi.org/10.1029/2004GL020365</v>
      </c>
      <c r="BG33" t="s">
        <v>74</v>
      </c>
      <c r="BH33" t="s">
        <v>74</v>
      </c>
      <c r="BI33">
        <v>4</v>
      </c>
      <c r="BJ33" t="s">
        <v>248</v>
      </c>
      <c r="BK33" t="s">
        <v>139</v>
      </c>
      <c r="BL33" t="s">
        <v>249</v>
      </c>
      <c r="BM33" t="s">
        <v>576</v>
      </c>
      <c r="BN33" t="s">
        <v>74</v>
      </c>
      <c r="BO33" t="s">
        <v>74</v>
      </c>
      <c r="BP33" t="s">
        <v>74</v>
      </c>
      <c r="BQ33" t="s">
        <v>74</v>
      </c>
      <c r="BR33" t="s">
        <v>98</v>
      </c>
      <c r="BS33" t="s">
        <v>577</v>
      </c>
      <c r="BT33" t="str">
        <f>HYPERLINK("https%3A%2F%2Fwww.webofscience.com%2Fwos%2Fwoscc%2Ffull-record%2FWOS:000225881900001","View Full Record in Web of Science")</f>
        <v>View Full Record in Web of Science</v>
      </c>
    </row>
    <row r="34" spans="1:72" x14ac:dyDescent="0.15">
      <c r="A34" t="s">
        <v>122</v>
      </c>
      <c r="B34" t="s">
        <v>578</v>
      </c>
      <c r="C34" t="s">
        <v>74</v>
      </c>
      <c r="D34" t="s">
        <v>74</v>
      </c>
      <c r="E34" t="s">
        <v>74</v>
      </c>
      <c r="F34" t="s">
        <v>578</v>
      </c>
      <c r="G34" t="s">
        <v>74</v>
      </c>
      <c r="H34" t="s">
        <v>74</v>
      </c>
      <c r="I34" t="s">
        <v>579</v>
      </c>
      <c r="J34" t="s">
        <v>580</v>
      </c>
      <c r="K34" t="s">
        <v>74</v>
      </c>
      <c r="L34" t="s">
        <v>74</v>
      </c>
      <c r="M34" t="s">
        <v>79</v>
      </c>
      <c r="N34" t="s">
        <v>581</v>
      </c>
      <c r="O34" t="s">
        <v>74</v>
      </c>
      <c r="P34" t="s">
        <v>74</v>
      </c>
      <c r="Q34" t="s">
        <v>74</v>
      </c>
      <c r="R34" t="s">
        <v>74</v>
      </c>
      <c r="S34" t="s">
        <v>74</v>
      </c>
      <c r="T34" t="s">
        <v>582</v>
      </c>
      <c r="U34" t="s">
        <v>583</v>
      </c>
      <c r="V34" t="s">
        <v>584</v>
      </c>
      <c r="W34" t="s">
        <v>585</v>
      </c>
      <c r="X34" t="s">
        <v>586</v>
      </c>
      <c r="Y34" t="s">
        <v>587</v>
      </c>
      <c r="Z34" t="s">
        <v>588</v>
      </c>
      <c r="AA34" t="s">
        <v>589</v>
      </c>
      <c r="AB34" t="s">
        <v>590</v>
      </c>
      <c r="AC34" t="s">
        <v>74</v>
      </c>
      <c r="AD34" t="s">
        <v>74</v>
      </c>
      <c r="AE34" t="s">
        <v>74</v>
      </c>
      <c r="AF34" t="s">
        <v>74</v>
      </c>
      <c r="AG34">
        <v>271</v>
      </c>
      <c r="AH34">
        <v>331</v>
      </c>
      <c r="AI34">
        <v>380</v>
      </c>
      <c r="AJ34">
        <v>4</v>
      </c>
      <c r="AK34">
        <v>211</v>
      </c>
      <c r="AL34" t="s">
        <v>531</v>
      </c>
      <c r="AM34" t="s">
        <v>532</v>
      </c>
      <c r="AN34" t="s">
        <v>533</v>
      </c>
      <c r="AO34" t="s">
        <v>591</v>
      </c>
      <c r="AP34" t="s">
        <v>592</v>
      </c>
      <c r="AQ34" t="s">
        <v>74</v>
      </c>
      <c r="AR34" t="s">
        <v>593</v>
      </c>
      <c r="AS34" t="s">
        <v>594</v>
      </c>
      <c r="AT34" t="s">
        <v>513</v>
      </c>
      <c r="AU34">
        <v>2004</v>
      </c>
      <c r="AV34">
        <v>213</v>
      </c>
      <c r="AW34" t="s">
        <v>595</v>
      </c>
      <c r="AX34" t="s">
        <v>74</v>
      </c>
      <c r="AY34" t="s">
        <v>74</v>
      </c>
      <c r="AZ34" t="s">
        <v>74</v>
      </c>
      <c r="BA34" t="s">
        <v>74</v>
      </c>
      <c r="BB34">
        <v>9</v>
      </c>
      <c r="BC34">
        <v>72</v>
      </c>
      <c r="BD34" t="s">
        <v>74</v>
      </c>
      <c r="BE34" t="s">
        <v>596</v>
      </c>
      <c r="BF34" t="str">
        <f>HYPERLINK("http://dx.doi.org/10.1016/j.margeo.2004.10.001","http://dx.doi.org/10.1016/j.margeo.2004.10.001")</f>
        <v>http://dx.doi.org/10.1016/j.margeo.2004.10.001</v>
      </c>
      <c r="BG34" t="s">
        <v>74</v>
      </c>
      <c r="BH34" t="s">
        <v>74</v>
      </c>
      <c r="BI34">
        <v>64</v>
      </c>
      <c r="BJ34" t="s">
        <v>597</v>
      </c>
      <c r="BK34" t="s">
        <v>139</v>
      </c>
      <c r="BL34" t="s">
        <v>598</v>
      </c>
      <c r="BM34" t="s">
        <v>599</v>
      </c>
      <c r="BN34" t="s">
        <v>74</v>
      </c>
      <c r="BO34" t="s">
        <v>74</v>
      </c>
      <c r="BP34" t="s">
        <v>74</v>
      </c>
      <c r="BQ34" t="s">
        <v>74</v>
      </c>
      <c r="BR34" t="s">
        <v>98</v>
      </c>
      <c r="BS34" t="s">
        <v>600</v>
      </c>
      <c r="BT34" t="str">
        <f>HYPERLINK("https%3A%2F%2Fwww.webofscience.com%2Fwos%2Fwoscc%2Ffull-record%2FWOS:000226172800002","View Full Record in Web of Science")</f>
        <v>View Full Record in Web of Science</v>
      </c>
    </row>
    <row r="35" spans="1:72" x14ac:dyDescent="0.15">
      <c r="A35" t="s">
        <v>122</v>
      </c>
      <c r="B35" t="s">
        <v>601</v>
      </c>
      <c r="C35" t="s">
        <v>74</v>
      </c>
      <c r="D35" t="s">
        <v>74</v>
      </c>
      <c r="E35" t="s">
        <v>74</v>
      </c>
      <c r="F35" t="s">
        <v>601</v>
      </c>
      <c r="G35" t="s">
        <v>74</v>
      </c>
      <c r="H35" t="s">
        <v>74</v>
      </c>
      <c r="I35" t="s">
        <v>602</v>
      </c>
      <c r="J35" t="s">
        <v>603</v>
      </c>
      <c r="K35" t="s">
        <v>74</v>
      </c>
      <c r="L35" t="s">
        <v>74</v>
      </c>
      <c r="M35" t="s">
        <v>79</v>
      </c>
      <c r="N35" t="s">
        <v>126</v>
      </c>
      <c r="O35" t="s">
        <v>74</v>
      </c>
      <c r="P35" t="s">
        <v>74</v>
      </c>
      <c r="Q35" t="s">
        <v>74</v>
      </c>
      <c r="R35" t="s">
        <v>74</v>
      </c>
      <c r="S35" t="s">
        <v>74</v>
      </c>
      <c r="T35" t="s">
        <v>604</v>
      </c>
      <c r="U35" t="s">
        <v>605</v>
      </c>
      <c r="V35" t="s">
        <v>606</v>
      </c>
      <c r="W35" t="s">
        <v>607</v>
      </c>
      <c r="X35" t="s">
        <v>608</v>
      </c>
      <c r="Y35" t="s">
        <v>609</v>
      </c>
      <c r="Z35" t="s">
        <v>610</v>
      </c>
      <c r="AA35" t="s">
        <v>74</v>
      </c>
      <c r="AB35" t="s">
        <v>611</v>
      </c>
      <c r="AC35" t="s">
        <v>74</v>
      </c>
      <c r="AD35" t="s">
        <v>74</v>
      </c>
      <c r="AE35" t="s">
        <v>74</v>
      </c>
      <c r="AF35" t="s">
        <v>74</v>
      </c>
      <c r="AG35">
        <v>77</v>
      </c>
      <c r="AH35">
        <v>274</v>
      </c>
      <c r="AI35">
        <v>294</v>
      </c>
      <c r="AJ35">
        <v>3</v>
      </c>
      <c r="AK35">
        <v>50</v>
      </c>
      <c r="AL35" t="s">
        <v>612</v>
      </c>
      <c r="AM35" t="s">
        <v>613</v>
      </c>
      <c r="AN35" t="s">
        <v>614</v>
      </c>
      <c r="AO35" t="s">
        <v>615</v>
      </c>
      <c r="AP35" t="s">
        <v>616</v>
      </c>
      <c r="AQ35" t="s">
        <v>74</v>
      </c>
      <c r="AR35" t="s">
        <v>617</v>
      </c>
      <c r="AS35" t="s">
        <v>618</v>
      </c>
      <c r="AT35" t="s">
        <v>513</v>
      </c>
      <c r="AU35">
        <v>2004</v>
      </c>
      <c r="AV35">
        <v>93</v>
      </c>
      <c r="AW35">
        <v>4</v>
      </c>
      <c r="AX35" t="s">
        <v>74</v>
      </c>
      <c r="AY35" t="s">
        <v>74</v>
      </c>
      <c r="AZ35" t="s">
        <v>74</v>
      </c>
      <c r="BA35" t="s">
        <v>74</v>
      </c>
      <c r="BB35">
        <v>463</v>
      </c>
      <c r="BC35">
        <v>479</v>
      </c>
      <c r="BD35" t="s">
        <v>74</v>
      </c>
      <c r="BE35" t="s">
        <v>619</v>
      </c>
      <c r="BF35" t="str">
        <f>HYPERLINK("http://dx.doi.org/10.1016/j.rse.2003.12.012","http://dx.doi.org/10.1016/j.rse.2003.12.012")</f>
        <v>http://dx.doi.org/10.1016/j.rse.2003.12.012</v>
      </c>
      <c r="BG35" t="s">
        <v>74</v>
      </c>
      <c r="BH35" t="s">
        <v>74</v>
      </c>
      <c r="BI35">
        <v>17</v>
      </c>
      <c r="BJ35" t="s">
        <v>620</v>
      </c>
      <c r="BK35" t="s">
        <v>139</v>
      </c>
      <c r="BL35" t="s">
        <v>621</v>
      </c>
      <c r="BM35" t="s">
        <v>622</v>
      </c>
      <c r="BN35" t="s">
        <v>74</v>
      </c>
      <c r="BO35" t="s">
        <v>74</v>
      </c>
      <c r="BP35" t="s">
        <v>74</v>
      </c>
      <c r="BQ35" t="s">
        <v>74</v>
      </c>
      <c r="BR35" t="s">
        <v>98</v>
      </c>
      <c r="BS35" t="s">
        <v>623</v>
      </c>
      <c r="BT35" t="str">
        <f>HYPERLINK("https%3A%2F%2Fwww.webofscience.com%2Fwos%2Fwoscc%2Ffull-record%2FWOS:000225361100002","View Full Record in Web of Science")</f>
        <v>View Full Record in Web of Science</v>
      </c>
    </row>
    <row r="36" spans="1:72" x14ac:dyDescent="0.15">
      <c r="A36" t="s">
        <v>122</v>
      </c>
      <c r="B36" t="s">
        <v>624</v>
      </c>
      <c r="C36" t="s">
        <v>74</v>
      </c>
      <c r="D36" t="s">
        <v>74</v>
      </c>
      <c r="E36" t="s">
        <v>74</v>
      </c>
      <c r="F36" t="s">
        <v>624</v>
      </c>
      <c r="G36" t="s">
        <v>74</v>
      </c>
      <c r="H36" t="s">
        <v>74</v>
      </c>
      <c r="I36" t="s">
        <v>625</v>
      </c>
      <c r="J36" t="s">
        <v>230</v>
      </c>
      <c r="K36" t="s">
        <v>74</v>
      </c>
      <c r="L36" t="s">
        <v>74</v>
      </c>
      <c r="M36" t="s">
        <v>79</v>
      </c>
      <c r="N36" t="s">
        <v>126</v>
      </c>
      <c r="O36" t="s">
        <v>74</v>
      </c>
      <c r="P36" t="s">
        <v>74</v>
      </c>
      <c r="Q36" t="s">
        <v>74</v>
      </c>
      <c r="R36" t="s">
        <v>74</v>
      </c>
      <c r="S36" t="s">
        <v>74</v>
      </c>
      <c r="T36" t="s">
        <v>74</v>
      </c>
      <c r="U36" t="s">
        <v>626</v>
      </c>
      <c r="V36" t="s">
        <v>627</v>
      </c>
      <c r="W36" t="s">
        <v>628</v>
      </c>
      <c r="X36" t="s">
        <v>629</v>
      </c>
      <c r="Y36" t="s">
        <v>630</v>
      </c>
      <c r="Z36" t="s">
        <v>631</v>
      </c>
      <c r="AA36" t="s">
        <v>632</v>
      </c>
      <c r="AB36" t="s">
        <v>633</v>
      </c>
      <c r="AC36" t="s">
        <v>634</v>
      </c>
      <c r="AD36" t="s">
        <v>635</v>
      </c>
      <c r="AE36" t="s">
        <v>74</v>
      </c>
      <c r="AF36" t="s">
        <v>74</v>
      </c>
      <c r="AG36">
        <v>23</v>
      </c>
      <c r="AH36">
        <v>44</v>
      </c>
      <c r="AI36">
        <v>44</v>
      </c>
      <c r="AJ36">
        <v>0</v>
      </c>
      <c r="AK36">
        <v>24</v>
      </c>
      <c r="AL36" t="s">
        <v>239</v>
      </c>
      <c r="AM36" t="s">
        <v>240</v>
      </c>
      <c r="AN36" t="s">
        <v>241</v>
      </c>
      <c r="AO36" t="s">
        <v>242</v>
      </c>
      <c r="AP36" t="s">
        <v>341</v>
      </c>
      <c r="AQ36" t="s">
        <v>74</v>
      </c>
      <c r="AR36" t="s">
        <v>243</v>
      </c>
      <c r="AS36" t="s">
        <v>244</v>
      </c>
      <c r="AT36" t="s">
        <v>636</v>
      </c>
      <c r="AU36">
        <v>2004</v>
      </c>
      <c r="AV36">
        <v>31</v>
      </c>
      <c r="AW36">
        <v>23</v>
      </c>
      <c r="AX36" t="s">
        <v>74</v>
      </c>
      <c r="AY36" t="s">
        <v>74</v>
      </c>
      <c r="AZ36" t="s">
        <v>74</v>
      </c>
      <c r="BA36" t="s">
        <v>74</v>
      </c>
      <c r="BB36" t="s">
        <v>74</v>
      </c>
      <c r="BC36" t="s">
        <v>74</v>
      </c>
      <c r="BD36" t="s">
        <v>637</v>
      </c>
      <c r="BE36" t="s">
        <v>638</v>
      </c>
      <c r="BF36" t="str">
        <f>HYPERLINK("http://dx.doi.org/10.1029/2004GL021477","http://dx.doi.org/10.1029/2004GL021477")</f>
        <v>http://dx.doi.org/10.1029/2004GL021477</v>
      </c>
      <c r="BG36" t="s">
        <v>74</v>
      </c>
      <c r="BH36" t="s">
        <v>74</v>
      </c>
      <c r="BI36">
        <v>4</v>
      </c>
      <c r="BJ36" t="s">
        <v>248</v>
      </c>
      <c r="BK36" t="s">
        <v>139</v>
      </c>
      <c r="BL36" t="s">
        <v>249</v>
      </c>
      <c r="BM36" t="s">
        <v>639</v>
      </c>
      <c r="BN36" t="s">
        <v>74</v>
      </c>
      <c r="BO36" t="s">
        <v>207</v>
      </c>
      <c r="BP36" t="s">
        <v>74</v>
      </c>
      <c r="BQ36" t="s">
        <v>74</v>
      </c>
      <c r="BR36" t="s">
        <v>98</v>
      </c>
      <c r="BS36" t="s">
        <v>640</v>
      </c>
      <c r="BT36" t="str">
        <f>HYPERLINK("https%3A%2F%2Fwww.webofscience.com%2Fwos%2Fwoscc%2Ffull-record%2FWOS:000225881800007","View Full Record in Web of Science")</f>
        <v>View Full Record in Web of Science</v>
      </c>
    </row>
    <row r="37" spans="1:72" x14ac:dyDescent="0.15">
      <c r="A37" t="s">
        <v>122</v>
      </c>
      <c r="B37" t="s">
        <v>641</v>
      </c>
      <c r="C37" t="s">
        <v>74</v>
      </c>
      <c r="D37" t="s">
        <v>74</v>
      </c>
      <c r="E37" t="s">
        <v>74</v>
      </c>
      <c r="F37" t="s">
        <v>641</v>
      </c>
      <c r="G37" t="s">
        <v>74</v>
      </c>
      <c r="H37" t="s">
        <v>74</v>
      </c>
      <c r="I37" t="s">
        <v>642</v>
      </c>
      <c r="J37" t="s">
        <v>643</v>
      </c>
      <c r="K37" t="s">
        <v>74</v>
      </c>
      <c r="L37" t="s">
        <v>74</v>
      </c>
      <c r="M37" t="s">
        <v>79</v>
      </c>
      <c r="N37" t="s">
        <v>126</v>
      </c>
      <c r="O37" t="s">
        <v>74</v>
      </c>
      <c r="P37" t="s">
        <v>74</v>
      </c>
      <c r="Q37" t="s">
        <v>74</v>
      </c>
      <c r="R37" t="s">
        <v>74</v>
      </c>
      <c r="S37" t="s">
        <v>74</v>
      </c>
      <c r="T37" t="s">
        <v>644</v>
      </c>
      <c r="U37" t="s">
        <v>645</v>
      </c>
      <c r="V37" t="s">
        <v>646</v>
      </c>
      <c r="W37" t="s">
        <v>647</v>
      </c>
      <c r="X37" t="s">
        <v>648</v>
      </c>
      <c r="Y37" t="s">
        <v>649</v>
      </c>
      <c r="Z37" t="s">
        <v>650</v>
      </c>
      <c r="AA37" t="s">
        <v>651</v>
      </c>
      <c r="AB37" t="s">
        <v>652</v>
      </c>
      <c r="AC37" t="s">
        <v>74</v>
      </c>
      <c r="AD37" t="s">
        <v>74</v>
      </c>
      <c r="AE37" t="s">
        <v>74</v>
      </c>
      <c r="AF37" t="s">
        <v>74</v>
      </c>
      <c r="AG37">
        <v>23</v>
      </c>
      <c r="AH37">
        <v>33</v>
      </c>
      <c r="AI37">
        <v>34</v>
      </c>
      <c r="AJ37">
        <v>1</v>
      </c>
      <c r="AK37">
        <v>4</v>
      </c>
      <c r="AL37" t="s">
        <v>239</v>
      </c>
      <c r="AM37" t="s">
        <v>240</v>
      </c>
      <c r="AN37" t="s">
        <v>241</v>
      </c>
      <c r="AO37" t="s">
        <v>653</v>
      </c>
      <c r="AP37" t="s">
        <v>654</v>
      </c>
      <c r="AQ37" t="s">
        <v>74</v>
      </c>
      <c r="AR37" t="s">
        <v>655</v>
      </c>
      <c r="AS37" t="s">
        <v>656</v>
      </c>
      <c r="AT37" t="s">
        <v>636</v>
      </c>
      <c r="AU37">
        <v>2004</v>
      </c>
      <c r="AV37">
        <v>109</v>
      </c>
      <c r="AW37" t="s">
        <v>657</v>
      </c>
      <c r="AX37" t="s">
        <v>74</v>
      </c>
      <c r="AY37" t="s">
        <v>74</v>
      </c>
      <c r="AZ37" t="s">
        <v>74</v>
      </c>
      <c r="BA37" t="s">
        <v>74</v>
      </c>
      <c r="BB37" t="s">
        <v>74</v>
      </c>
      <c r="BC37" t="s">
        <v>74</v>
      </c>
      <c r="BD37" t="s">
        <v>658</v>
      </c>
      <c r="BE37" t="s">
        <v>659</v>
      </c>
      <c r="BF37" t="str">
        <f>HYPERLINK("http://dx.doi.org/10.1029/2004JC002302","http://dx.doi.org/10.1029/2004JC002302")</f>
        <v>http://dx.doi.org/10.1029/2004JC002302</v>
      </c>
      <c r="BG37" t="s">
        <v>74</v>
      </c>
      <c r="BH37" t="s">
        <v>74</v>
      </c>
      <c r="BI37">
        <v>11</v>
      </c>
      <c r="BJ37" t="s">
        <v>660</v>
      </c>
      <c r="BK37" t="s">
        <v>139</v>
      </c>
      <c r="BL37" t="s">
        <v>660</v>
      </c>
      <c r="BM37" t="s">
        <v>661</v>
      </c>
      <c r="BN37" t="s">
        <v>74</v>
      </c>
      <c r="BO37" t="s">
        <v>74</v>
      </c>
      <c r="BP37" t="s">
        <v>74</v>
      </c>
      <c r="BQ37" t="s">
        <v>74</v>
      </c>
      <c r="BR37" t="s">
        <v>98</v>
      </c>
      <c r="BS37" t="s">
        <v>662</v>
      </c>
      <c r="BT37" t="str">
        <f>HYPERLINK("https%3A%2F%2Fwww.webofscience.com%2Fwos%2Fwoscc%2Ffull-record%2FWOS:000225882700006","View Full Record in Web of Science")</f>
        <v>View Full Record in Web of Science</v>
      </c>
    </row>
    <row r="38" spans="1:72" x14ac:dyDescent="0.15">
      <c r="A38" t="s">
        <v>122</v>
      </c>
      <c r="B38" t="s">
        <v>663</v>
      </c>
      <c r="C38" t="s">
        <v>74</v>
      </c>
      <c r="D38" t="s">
        <v>74</v>
      </c>
      <c r="E38" t="s">
        <v>74</v>
      </c>
      <c r="F38" t="s">
        <v>663</v>
      </c>
      <c r="G38" t="s">
        <v>74</v>
      </c>
      <c r="H38" t="s">
        <v>74</v>
      </c>
      <c r="I38" t="s">
        <v>664</v>
      </c>
      <c r="J38" t="s">
        <v>665</v>
      </c>
      <c r="K38" t="s">
        <v>74</v>
      </c>
      <c r="L38" t="s">
        <v>74</v>
      </c>
      <c r="M38" t="s">
        <v>79</v>
      </c>
      <c r="N38" t="s">
        <v>126</v>
      </c>
      <c r="O38" t="s">
        <v>74</v>
      </c>
      <c r="P38" t="s">
        <v>74</v>
      </c>
      <c r="Q38" t="s">
        <v>74</v>
      </c>
      <c r="R38" t="s">
        <v>74</v>
      </c>
      <c r="S38" t="s">
        <v>74</v>
      </c>
      <c r="T38" t="s">
        <v>666</v>
      </c>
      <c r="U38" t="s">
        <v>667</v>
      </c>
      <c r="V38" t="s">
        <v>668</v>
      </c>
      <c r="W38" t="s">
        <v>669</v>
      </c>
      <c r="X38" t="s">
        <v>670</v>
      </c>
      <c r="Y38" t="s">
        <v>671</v>
      </c>
      <c r="Z38" t="s">
        <v>672</v>
      </c>
      <c r="AA38" t="s">
        <v>74</v>
      </c>
      <c r="AB38" t="s">
        <v>673</v>
      </c>
      <c r="AC38" t="s">
        <v>74</v>
      </c>
      <c r="AD38" t="s">
        <v>74</v>
      </c>
      <c r="AE38" t="s">
        <v>74</v>
      </c>
      <c r="AF38" t="s">
        <v>74</v>
      </c>
      <c r="AG38">
        <v>84</v>
      </c>
      <c r="AH38">
        <v>46</v>
      </c>
      <c r="AI38">
        <v>48</v>
      </c>
      <c r="AJ38">
        <v>0</v>
      </c>
      <c r="AK38">
        <v>9</v>
      </c>
      <c r="AL38" t="s">
        <v>239</v>
      </c>
      <c r="AM38" t="s">
        <v>240</v>
      </c>
      <c r="AN38" t="s">
        <v>241</v>
      </c>
      <c r="AO38" t="s">
        <v>674</v>
      </c>
      <c r="AP38" t="s">
        <v>675</v>
      </c>
      <c r="AQ38" t="s">
        <v>74</v>
      </c>
      <c r="AR38" t="s">
        <v>676</v>
      </c>
      <c r="AS38" t="s">
        <v>677</v>
      </c>
      <c r="AT38" t="s">
        <v>636</v>
      </c>
      <c r="AU38">
        <v>2004</v>
      </c>
      <c r="AV38">
        <v>109</v>
      </c>
      <c r="AW38" t="s">
        <v>678</v>
      </c>
      <c r="AX38" t="s">
        <v>74</v>
      </c>
      <c r="AY38" t="s">
        <v>74</v>
      </c>
      <c r="AZ38" t="s">
        <v>74</v>
      </c>
      <c r="BA38" t="s">
        <v>74</v>
      </c>
      <c r="BB38" t="s">
        <v>74</v>
      </c>
      <c r="BC38" t="s">
        <v>74</v>
      </c>
      <c r="BD38" t="s">
        <v>679</v>
      </c>
      <c r="BE38" t="s">
        <v>680</v>
      </c>
      <c r="BF38" t="str">
        <f>HYPERLINK("http://dx.doi.org/10.1029/2004JB003046","http://dx.doi.org/10.1029/2004JB003046")</f>
        <v>http://dx.doi.org/10.1029/2004JB003046</v>
      </c>
      <c r="BG38" t="s">
        <v>74</v>
      </c>
      <c r="BH38" t="s">
        <v>74</v>
      </c>
      <c r="BI38">
        <v>19</v>
      </c>
      <c r="BJ38" t="s">
        <v>271</v>
      </c>
      <c r="BK38" t="s">
        <v>139</v>
      </c>
      <c r="BL38" t="s">
        <v>271</v>
      </c>
      <c r="BM38" t="s">
        <v>681</v>
      </c>
      <c r="BN38" t="s">
        <v>74</v>
      </c>
      <c r="BO38" t="s">
        <v>273</v>
      </c>
      <c r="BP38" t="s">
        <v>74</v>
      </c>
      <c r="BQ38" t="s">
        <v>74</v>
      </c>
      <c r="BR38" t="s">
        <v>98</v>
      </c>
      <c r="BS38" t="s">
        <v>682</v>
      </c>
      <c r="BT38" t="str">
        <f>HYPERLINK("https%3A%2F%2Fwww.webofscience.com%2Fwos%2Fwoscc%2Ffull-record%2FWOS:000225883000001","View Full Record in Web of Science")</f>
        <v>View Full Record in Web of Science</v>
      </c>
    </row>
    <row r="39" spans="1:72" x14ac:dyDescent="0.15">
      <c r="A39" t="s">
        <v>122</v>
      </c>
      <c r="B39" t="s">
        <v>683</v>
      </c>
      <c r="C39" t="s">
        <v>74</v>
      </c>
      <c r="D39" t="s">
        <v>74</v>
      </c>
      <c r="E39" t="s">
        <v>74</v>
      </c>
      <c r="F39" t="s">
        <v>683</v>
      </c>
      <c r="G39" t="s">
        <v>74</v>
      </c>
      <c r="H39" t="s">
        <v>74</v>
      </c>
      <c r="I39" t="s">
        <v>684</v>
      </c>
      <c r="J39" t="s">
        <v>475</v>
      </c>
      <c r="K39" t="s">
        <v>74</v>
      </c>
      <c r="L39" t="s">
        <v>74</v>
      </c>
      <c r="M39" t="s">
        <v>79</v>
      </c>
      <c r="N39" t="s">
        <v>126</v>
      </c>
      <c r="O39" t="s">
        <v>74</v>
      </c>
      <c r="P39" t="s">
        <v>74</v>
      </c>
      <c r="Q39" t="s">
        <v>74</v>
      </c>
      <c r="R39" t="s">
        <v>74</v>
      </c>
      <c r="S39" t="s">
        <v>74</v>
      </c>
      <c r="T39" t="s">
        <v>685</v>
      </c>
      <c r="U39" t="s">
        <v>686</v>
      </c>
      <c r="V39" t="s">
        <v>687</v>
      </c>
      <c r="W39" t="s">
        <v>688</v>
      </c>
      <c r="X39" t="s">
        <v>689</v>
      </c>
      <c r="Y39" t="s">
        <v>690</v>
      </c>
      <c r="Z39" t="s">
        <v>691</v>
      </c>
      <c r="AA39" t="s">
        <v>692</v>
      </c>
      <c r="AB39" t="s">
        <v>693</v>
      </c>
      <c r="AC39" t="s">
        <v>74</v>
      </c>
      <c r="AD39" t="s">
        <v>74</v>
      </c>
      <c r="AE39" t="s">
        <v>74</v>
      </c>
      <c r="AF39" t="s">
        <v>74</v>
      </c>
      <c r="AG39">
        <v>30</v>
      </c>
      <c r="AH39">
        <v>18</v>
      </c>
      <c r="AI39">
        <v>22</v>
      </c>
      <c r="AJ39">
        <v>0</v>
      </c>
      <c r="AK39">
        <v>1</v>
      </c>
      <c r="AL39" t="s">
        <v>239</v>
      </c>
      <c r="AM39" t="s">
        <v>240</v>
      </c>
      <c r="AN39" t="s">
        <v>241</v>
      </c>
      <c r="AO39" t="s">
        <v>484</v>
      </c>
      <c r="AP39" t="s">
        <v>485</v>
      </c>
      <c r="AQ39" t="s">
        <v>74</v>
      </c>
      <c r="AR39" t="s">
        <v>486</v>
      </c>
      <c r="AS39" t="s">
        <v>487</v>
      </c>
      <c r="AT39" t="s">
        <v>694</v>
      </c>
      <c r="AU39">
        <v>2004</v>
      </c>
      <c r="AV39">
        <v>109</v>
      </c>
      <c r="AW39" t="s">
        <v>488</v>
      </c>
      <c r="AX39" t="s">
        <v>74</v>
      </c>
      <c r="AY39" t="s">
        <v>74</v>
      </c>
      <c r="AZ39" t="s">
        <v>74</v>
      </c>
      <c r="BA39" t="s">
        <v>74</v>
      </c>
      <c r="BB39" t="s">
        <v>74</v>
      </c>
      <c r="BC39" t="s">
        <v>74</v>
      </c>
      <c r="BD39" t="s">
        <v>695</v>
      </c>
      <c r="BE39" t="s">
        <v>696</v>
      </c>
      <c r="BF39" t="str">
        <f>HYPERLINK("http://dx.doi.org/10.1029/2004JA010644","http://dx.doi.org/10.1029/2004JA010644")</f>
        <v>http://dx.doi.org/10.1029/2004JA010644</v>
      </c>
      <c r="BG39" t="s">
        <v>74</v>
      </c>
      <c r="BH39" t="s">
        <v>74</v>
      </c>
      <c r="BI39">
        <v>8</v>
      </c>
      <c r="BJ39" t="s">
        <v>491</v>
      </c>
      <c r="BK39" t="s">
        <v>139</v>
      </c>
      <c r="BL39" t="s">
        <v>491</v>
      </c>
      <c r="BM39" t="s">
        <v>697</v>
      </c>
      <c r="BN39" t="s">
        <v>74</v>
      </c>
      <c r="BO39" t="s">
        <v>74</v>
      </c>
      <c r="BP39" t="s">
        <v>74</v>
      </c>
      <c r="BQ39" t="s">
        <v>74</v>
      </c>
      <c r="BR39" t="s">
        <v>98</v>
      </c>
      <c r="BS39" t="s">
        <v>698</v>
      </c>
      <c r="BT39" t="str">
        <f>HYPERLINK("https%3A%2F%2Fwww.webofscience.com%2Fwos%2Fwoscc%2Ffull-record%2FWOS:000225880700009","View Full Record in Web of Science")</f>
        <v>View Full Record in Web of Science</v>
      </c>
    </row>
    <row r="40" spans="1:72" x14ac:dyDescent="0.15">
      <c r="A40" t="s">
        <v>122</v>
      </c>
      <c r="B40" t="s">
        <v>699</v>
      </c>
      <c r="C40" t="s">
        <v>74</v>
      </c>
      <c r="D40" t="s">
        <v>74</v>
      </c>
      <c r="E40" t="s">
        <v>74</v>
      </c>
      <c r="F40" t="s">
        <v>699</v>
      </c>
      <c r="G40" t="s">
        <v>74</v>
      </c>
      <c r="H40" t="s">
        <v>74</v>
      </c>
      <c r="I40" t="s">
        <v>700</v>
      </c>
      <c r="J40" t="s">
        <v>230</v>
      </c>
      <c r="K40" t="s">
        <v>74</v>
      </c>
      <c r="L40" t="s">
        <v>74</v>
      </c>
      <c r="M40" t="s">
        <v>79</v>
      </c>
      <c r="N40" t="s">
        <v>126</v>
      </c>
      <c r="O40" t="s">
        <v>74</v>
      </c>
      <c r="P40" t="s">
        <v>74</v>
      </c>
      <c r="Q40" t="s">
        <v>74</v>
      </c>
      <c r="R40" t="s">
        <v>74</v>
      </c>
      <c r="S40" t="s">
        <v>74</v>
      </c>
      <c r="T40" t="s">
        <v>74</v>
      </c>
      <c r="U40" t="s">
        <v>701</v>
      </c>
      <c r="V40" t="s">
        <v>702</v>
      </c>
      <c r="W40" t="s">
        <v>703</v>
      </c>
      <c r="X40" t="s">
        <v>704</v>
      </c>
      <c r="Y40" t="s">
        <v>705</v>
      </c>
      <c r="Z40" t="s">
        <v>706</v>
      </c>
      <c r="AA40" t="s">
        <v>707</v>
      </c>
      <c r="AB40" t="s">
        <v>708</v>
      </c>
      <c r="AC40" t="s">
        <v>74</v>
      </c>
      <c r="AD40" t="s">
        <v>74</v>
      </c>
      <c r="AE40" t="s">
        <v>74</v>
      </c>
      <c r="AF40" t="s">
        <v>74</v>
      </c>
      <c r="AG40">
        <v>19</v>
      </c>
      <c r="AH40">
        <v>258</v>
      </c>
      <c r="AI40">
        <v>286</v>
      </c>
      <c r="AJ40">
        <v>2</v>
      </c>
      <c r="AK40">
        <v>44</v>
      </c>
      <c r="AL40" t="s">
        <v>239</v>
      </c>
      <c r="AM40" t="s">
        <v>240</v>
      </c>
      <c r="AN40" t="s">
        <v>241</v>
      </c>
      <c r="AO40" t="s">
        <v>242</v>
      </c>
      <c r="AP40" t="s">
        <v>341</v>
      </c>
      <c r="AQ40" t="s">
        <v>74</v>
      </c>
      <c r="AR40" t="s">
        <v>243</v>
      </c>
      <c r="AS40" t="s">
        <v>244</v>
      </c>
      <c r="AT40" t="s">
        <v>709</v>
      </c>
      <c r="AU40">
        <v>2004</v>
      </c>
      <c r="AV40">
        <v>31</v>
      </c>
      <c r="AW40">
        <v>23</v>
      </c>
      <c r="AX40" t="s">
        <v>74</v>
      </c>
      <c r="AY40" t="s">
        <v>74</v>
      </c>
      <c r="AZ40" t="s">
        <v>74</v>
      </c>
      <c r="BA40" t="s">
        <v>74</v>
      </c>
      <c r="BB40" t="s">
        <v>74</v>
      </c>
      <c r="BC40" t="s">
        <v>74</v>
      </c>
      <c r="BD40" t="s">
        <v>710</v>
      </c>
      <c r="BE40" t="s">
        <v>711</v>
      </c>
      <c r="BF40" t="str">
        <f>HYPERLINK("http://dx.doi.org/10.1029/2004GL021284","http://dx.doi.org/10.1029/2004GL021284")</f>
        <v>http://dx.doi.org/10.1029/2004GL021284</v>
      </c>
      <c r="BG40" t="s">
        <v>74</v>
      </c>
      <c r="BH40" t="s">
        <v>74</v>
      </c>
      <c r="BI40">
        <v>4</v>
      </c>
      <c r="BJ40" t="s">
        <v>248</v>
      </c>
      <c r="BK40" t="s">
        <v>139</v>
      </c>
      <c r="BL40" t="s">
        <v>249</v>
      </c>
      <c r="BM40" t="s">
        <v>712</v>
      </c>
      <c r="BN40" t="s">
        <v>74</v>
      </c>
      <c r="BO40" t="s">
        <v>713</v>
      </c>
      <c r="BP40" t="s">
        <v>74</v>
      </c>
      <c r="BQ40" t="s">
        <v>74</v>
      </c>
      <c r="BR40" t="s">
        <v>98</v>
      </c>
      <c r="BS40" t="s">
        <v>714</v>
      </c>
      <c r="BT40" t="str">
        <f>HYPERLINK("https%3A%2F%2Fwww.webofscience.com%2Fwos%2Fwoscc%2Ffull-record%2FWOS:000225878800003","View Full Record in Web of Science")</f>
        <v>View Full Record in Web of Science</v>
      </c>
    </row>
    <row r="41" spans="1:72" x14ac:dyDescent="0.15">
      <c r="A41" t="s">
        <v>122</v>
      </c>
      <c r="B41" t="s">
        <v>715</v>
      </c>
      <c r="C41" t="s">
        <v>74</v>
      </c>
      <c r="D41" t="s">
        <v>74</v>
      </c>
      <c r="E41" t="s">
        <v>74</v>
      </c>
      <c r="F41" t="s">
        <v>715</v>
      </c>
      <c r="G41" t="s">
        <v>74</v>
      </c>
      <c r="H41" t="s">
        <v>74</v>
      </c>
      <c r="I41" t="s">
        <v>716</v>
      </c>
      <c r="J41" t="s">
        <v>230</v>
      </c>
      <c r="K41" t="s">
        <v>74</v>
      </c>
      <c r="L41" t="s">
        <v>74</v>
      </c>
      <c r="M41" t="s">
        <v>79</v>
      </c>
      <c r="N41" t="s">
        <v>126</v>
      </c>
      <c r="O41" t="s">
        <v>74</v>
      </c>
      <c r="P41" t="s">
        <v>74</v>
      </c>
      <c r="Q41" t="s">
        <v>74</v>
      </c>
      <c r="R41" t="s">
        <v>74</v>
      </c>
      <c r="S41" t="s">
        <v>74</v>
      </c>
      <c r="T41" t="s">
        <v>74</v>
      </c>
      <c r="U41" t="s">
        <v>717</v>
      </c>
      <c r="V41" t="s">
        <v>718</v>
      </c>
      <c r="W41" t="s">
        <v>719</v>
      </c>
      <c r="X41" t="s">
        <v>720</v>
      </c>
      <c r="Y41" t="s">
        <v>721</v>
      </c>
      <c r="Z41" t="s">
        <v>722</v>
      </c>
      <c r="AA41" t="s">
        <v>723</v>
      </c>
      <c r="AB41" t="s">
        <v>724</v>
      </c>
      <c r="AC41" t="s">
        <v>74</v>
      </c>
      <c r="AD41" t="s">
        <v>74</v>
      </c>
      <c r="AE41" t="s">
        <v>74</v>
      </c>
      <c r="AF41" t="s">
        <v>74</v>
      </c>
      <c r="AG41">
        <v>27</v>
      </c>
      <c r="AH41">
        <v>344</v>
      </c>
      <c r="AI41">
        <v>404</v>
      </c>
      <c r="AJ41">
        <v>3</v>
      </c>
      <c r="AK41">
        <v>54</v>
      </c>
      <c r="AL41" t="s">
        <v>239</v>
      </c>
      <c r="AM41" t="s">
        <v>240</v>
      </c>
      <c r="AN41" t="s">
        <v>241</v>
      </c>
      <c r="AO41" t="s">
        <v>242</v>
      </c>
      <c r="AP41" t="s">
        <v>341</v>
      </c>
      <c r="AQ41" t="s">
        <v>74</v>
      </c>
      <c r="AR41" t="s">
        <v>243</v>
      </c>
      <c r="AS41" t="s">
        <v>244</v>
      </c>
      <c r="AT41" t="s">
        <v>709</v>
      </c>
      <c r="AU41">
        <v>2004</v>
      </c>
      <c r="AV41">
        <v>31</v>
      </c>
      <c r="AW41">
        <v>23</v>
      </c>
      <c r="AX41" t="s">
        <v>74</v>
      </c>
      <c r="AY41" t="s">
        <v>74</v>
      </c>
      <c r="AZ41" t="s">
        <v>74</v>
      </c>
      <c r="BA41" t="s">
        <v>74</v>
      </c>
      <c r="BB41" t="s">
        <v>74</v>
      </c>
      <c r="BC41" t="s">
        <v>74</v>
      </c>
      <c r="BD41" t="s">
        <v>725</v>
      </c>
      <c r="BE41" t="s">
        <v>726</v>
      </c>
      <c r="BF41" t="str">
        <f>HYPERLINK("http://dx.doi.org/10.1029/2004GL021106","http://dx.doi.org/10.1029/2004GL021106")</f>
        <v>http://dx.doi.org/10.1029/2004GL021106</v>
      </c>
      <c r="BG41" t="s">
        <v>74</v>
      </c>
      <c r="BH41" t="s">
        <v>74</v>
      </c>
      <c r="BI41">
        <v>4</v>
      </c>
      <c r="BJ41" t="s">
        <v>248</v>
      </c>
      <c r="BK41" t="s">
        <v>139</v>
      </c>
      <c r="BL41" t="s">
        <v>249</v>
      </c>
      <c r="BM41" t="s">
        <v>712</v>
      </c>
      <c r="BN41" t="s">
        <v>74</v>
      </c>
      <c r="BO41" t="s">
        <v>329</v>
      </c>
      <c r="BP41" t="s">
        <v>74</v>
      </c>
      <c r="BQ41" t="s">
        <v>74</v>
      </c>
      <c r="BR41" t="s">
        <v>98</v>
      </c>
      <c r="BS41" t="s">
        <v>727</v>
      </c>
      <c r="BT41" t="str">
        <f>HYPERLINK("https%3A%2F%2Fwww.webofscience.com%2Fwos%2Fwoscc%2Ffull-record%2FWOS:000225878800001","View Full Record in Web of Science")</f>
        <v>View Full Record in Web of Science</v>
      </c>
    </row>
    <row r="42" spans="1:72" x14ac:dyDescent="0.15">
      <c r="A42" t="s">
        <v>122</v>
      </c>
      <c r="B42" t="s">
        <v>728</v>
      </c>
      <c r="C42" t="s">
        <v>74</v>
      </c>
      <c r="D42" t="s">
        <v>74</v>
      </c>
      <c r="E42" t="s">
        <v>74</v>
      </c>
      <c r="F42" t="s">
        <v>728</v>
      </c>
      <c r="G42" t="s">
        <v>74</v>
      </c>
      <c r="H42" t="s">
        <v>74</v>
      </c>
      <c r="I42" t="s">
        <v>729</v>
      </c>
      <c r="J42" t="s">
        <v>277</v>
      </c>
      <c r="K42" t="s">
        <v>74</v>
      </c>
      <c r="L42" t="s">
        <v>74</v>
      </c>
      <c r="M42" t="s">
        <v>79</v>
      </c>
      <c r="N42" t="s">
        <v>126</v>
      </c>
      <c r="O42" t="s">
        <v>74</v>
      </c>
      <c r="P42" t="s">
        <v>74</v>
      </c>
      <c r="Q42" t="s">
        <v>74</v>
      </c>
      <c r="R42" t="s">
        <v>74</v>
      </c>
      <c r="S42" t="s">
        <v>74</v>
      </c>
      <c r="T42" t="s">
        <v>730</v>
      </c>
      <c r="U42" t="s">
        <v>731</v>
      </c>
      <c r="V42" t="s">
        <v>732</v>
      </c>
      <c r="W42" t="s">
        <v>733</v>
      </c>
      <c r="X42" t="s">
        <v>734</v>
      </c>
      <c r="Y42" t="s">
        <v>735</v>
      </c>
      <c r="Z42" t="s">
        <v>736</v>
      </c>
      <c r="AA42" t="s">
        <v>737</v>
      </c>
      <c r="AB42" t="s">
        <v>738</v>
      </c>
      <c r="AC42" t="s">
        <v>74</v>
      </c>
      <c r="AD42" t="s">
        <v>74</v>
      </c>
      <c r="AE42" t="s">
        <v>74</v>
      </c>
      <c r="AF42" t="s">
        <v>74</v>
      </c>
      <c r="AG42">
        <v>35</v>
      </c>
      <c r="AH42">
        <v>42</v>
      </c>
      <c r="AI42">
        <v>42</v>
      </c>
      <c r="AJ42">
        <v>0</v>
      </c>
      <c r="AK42">
        <v>16</v>
      </c>
      <c r="AL42" t="s">
        <v>239</v>
      </c>
      <c r="AM42" t="s">
        <v>240</v>
      </c>
      <c r="AN42" t="s">
        <v>241</v>
      </c>
      <c r="AO42" t="s">
        <v>284</v>
      </c>
      <c r="AP42" t="s">
        <v>285</v>
      </c>
      <c r="AQ42" t="s">
        <v>74</v>
      </c>
      <c r="AR42" t="s">
        <v>286</v>
      </c>
      <c r="AS42" t="s">
        <v>287</v>
      </c>
      <c r="AT42" t="s">
        <v>709</v>
      </c>
      <c r="AU42">
        <v>2004</v>
      </c>
      <c r="AV42">
        <v>109</v>
      </c>
      <c r="AW42" t="s">
        <v>739</v>
      </c>
      <c r="AX42" t="s">
        <v>74</v>
      </c>
      <c r="AY42" t="s">
        <v>74</v>
      </c>
      <c r="AZ42" t="s">
        <v>74</v>
      </c>
      <c r="BA42" t="s">
        <v>74</v>
      </c>
      <c r="BB42" t="s">
        <v>74</v>
      </c>
      <c r="BC42" t="s">
        <v>74</v>
      </c>
      <c r="BD42" t="s">
        <v>740</v>
      </c>
      <c r="BE42" t="s">
        <v>741</v>
      </c>
      <c r="BF42" t="str">
        <f>HYPERLINK("http://dx.doi.org/10.1029/2004JD004834","http://dx.doi.org/10.1029/2004JD004834")</f>
        <v>http://dx.doi.org/10.1029/2004JD004834</v>
      </c>
      <c r="BG42" t="s">
        <v>74</v>
      </c>
      <c r="BH42" t="s">
        <v>74</v>
      </c>
      <c r="BI42">
        <v>21</v>
      </c>
      <c r="BJ42" t="s">
        <v>291</v>
      </c>
      <c r="BK42" t="s">
        <v>139</v>
      </c>
      <c r="BL42" t="s">
        <v>291</v>
      </c>
      <c r="BM42" t="s">
        <v>742</v>
      </c>
      <c r="BN42" t="s">
        <v>74</v>
      </c>
      <c r="BO42" t="s">
        <v>329</v>
      </c>
      <c r="BP42" t="s">
        <v>74</v>
      </c>
      <c r="BQ42" t="s">
        <v>74</v>
      </c>
      <c r="BR42" t="s">
        <v>98</v>
      </c>
      <c r="BS42" t="s">
        <v>743</v>
      </c>
      <c r="BT42" t="str">
        <f>HYPERLINK("https%3A%2F%2Fwww.webofscience.com%2Fwos%2Fwoscc%2Ffull-record%2FWOS:000225879500001","View Full Record in Web of Science")</f>
        <v>View Full Record in Web of Science</v>
      </c>
    </row>
    <row r="43" spans="1:72" x14ac:dyDescent="0.15">
      <c r="A43" t="s">
        <v>122</v>
      </c>
      <c r="B43" t="s">
        <v>744</v>
      </c>
      <c r="C43" t="s">
        <v>74</v>
      </c>
      <c r="D43" t="s">
        <v>74</v>
      </c>
      <c r="E43" t="s">
        <v>74</v>
      </c>
      <c r="F43" t="s">
        <v>744</v>
      </c>
      <c r="G43" t="s">
        <v>74</v>
      </c>
      <c r="H43" t="s">
        <v>74</v>
      </c>
      <c r="I43" t="s">
        <v>745</v>
      </c>
      <c r="J43" t="s">
        <v>365</v>
      </c>
      <c r="K43" t="s">
        <v>74</v>
      </c>
      <c r="L43" t="s">
        <v>74</v>
      </c>
      <c r="M43" t="s">
        <v>79</v>
      </c>
      <c r="N43" t="s">
        <v>746</v>
      </c>
      <c r="O43" t="s">
        <v>74</v>
      </c>
      <c r="P43" t="s">
        <v>74</v>
      </c>
      <c r="Q43" t="s">
        <v>74</v>
      </c>
      <c r="R43" t="s">
        <v>74</v>
      </c>
      <c r="S43" t="s">
        <v>74</v>
      </c>
      <c r="T43" t="s">
        <v>74</v>
      </c>
      <c r="U43" t="s">
        <v>74</v>
      </c>
      <c r="V43" t="s">
        <v>74</v>
      </c>
      <c r="W43" t="s">
        <v>747</v>
      </c>
      <c r="X43" t="s">
        <v>748</v>
      </c>
      <c r="Y43" t="s">
        <v>749</v>
      </c>
      <c r="Z43" t="s">
        <v>74</v>
      </c>
      <c r="AA43" t="s">
        <v>74</v>
      </c>
      <c r="AB43" t="s">
        <v>74</v>
      </c>
      <c r="AC43" t="s">
        <v>74</v>
      </c>
      <c r="AD43" t="s">
        <v>74</v>
      </c>
      <c r="AE43" t="s">
        <v>74</v>
      </c>
      <c r="AF43" t="s">
        <v>74</v>
      </c>
      <c r="AG43">
        <v>1</v>
      </c>
      <c r="AH43">
        <v>0</v>
      </c>
      <c r="AI43">
        <v>0</v>
      </c>
      <c r="AJ43">
        <v>0</v>
      </c>
      <c r="AK43">
        <v>0</v>
      </c>
      <c r="AL43" t="s">
        <v>750</v>
      </c>
      <c r="AM43" t="s">
        <v>751</v>
      </c>
      <c r="AN43" t="s">
        <v>752</v>
      </c>
      <c r="AO43" t="s">
        <v>377</v>
      </c>
      <c r="AP43" t="s">
        <v>378</v>
      </c>
      <c r="AQ43" t="s">
        <v>74</v>
      </c>
      <c r="AR43" t="s">
        <v>365</v>
      </c>
      <c r="AS43" t="s">
        <v>379</v>
      </c>
      <c r="AT43" t="s">
        <v>709</v>
      </c>
      <c r="AU43">
        <v>2004</v>
      </c>
      <c r="AV43">
        <v>432</v>
      </c>
      <c r="AW43">
        <v>7018</v>
      </c>
      <c r="AX43" t="s">
        <v>74</v>
      </c>
      <c r="AY43" t="s">
        <v>74</v>
      </c>
      <c r="AZ43" t="s">
        <v>74</v>
      </c>
      <c r="BA43" t="s">
        <v>74</v>
      </c>
      <c r="BB43">
        <v>675</v>
      </c>
      <c r="BC43">
        <v>676</v>
      </c>
      <c r="BD43" t="s">
        <v>74</v>
      </c>
      <c r="BE43" t="s">
        <v>753</v>
      </c>
      <c r="BF43" t="str">
        <f>HYPERLINK("http://dx.doi.org/10.1038/432675b","http://dx.doi.org/10.1038/432675b")</f>
        <v>http://dx.doi.org/10.1038/432675b</v>
      </c>
      <c r="BG43" t="s">
        <v>74</v>
      </c>
      <c r="BH43" t="s">
        <v>74</v>
      </c>
      <c r="BI43">
        <v>2</v>
      </c>
      <c r="BJ43" t="s">
        <v>381</v>
      </c>
      <c r="BK43" t="s">
        <v>139</v>
      </c>
      <c r="BL43" t="s">
        <v>382</v>
      </c>
      <c r="BM43" t="s">
        <v>754</v>
      </c>
      <c r="BN43" t="s">
        <v>74</v>
      </c>
      <c r="BO43" t="s">
        <v>74</v>
      </c>
      <c r="BP43" t="s">
        <v>74</v>
      </c>
      <c r="BQ43" t="s">
        <v>74</v>
      </c>
      <c r="BR43" t="s">
        <v>98</v>
      </c>
      <c r="BS43" t="s">
        <v>755</v>
      </c>
      <c r="BT43" t="str">
        <f>HYPERLINK("https%3A%2F%2Fwww.webofscience.com%2Fwos%2Fwoscc%2Ffull-record%2FWOS:000225597200023","View Full Record in Web of Science")</f>
        <v>View Full Record in Web of Science</v>
      </c>
    </row>
    <row r="44" spans="1:72" x14ac:dyDescent="0.15">
      <c r="A44" t="s">
        <v>122</v>
      </c>
      <c r="B44" t="s">
        <v>744</v>
      </c>
      <c r="C44" t="s">
        <v>74</v>
      </c>
      <c r="D44" t="s">
        <v>74</v>
      </c>
      <c r="E44" t="s">
        <v>74</v>
      </c>
      <c r="F44" t="s">
        <v>744</v>
      </c>
      <c r="G44" t="s">
        <v>74</v>
      </c>
      <c r="H44" t="s">
        <v>74</v>
      </c>
      <c r="I44" t="s">
        <v>756</v>
      </c>
      <c r="J44" t="s">
        <v>365</v>
      </c>
      <c r="K44" t="s">
        <v>74</v>
      </c>
      <c r="L44" t="s">
        <v>74</v>
      </c>
      <c r="M44" t="s">
        <v>79</v>
      </c>
      <c r="N44" t="s">
        <v>746</v>
      </c>
      <c r="O44" t="s">
        <v>74</v>
      </c>
      <c r="P44" t="s">
        <v>74</v>
      </c>
      <c r="Q44" t="s">
        <v>74</v>
      </c>
      <c r="R44" t="s">
        <v>74</v>
      </c>
      <c r="S44" t="s">
        <v>74</v>
      </c>
      <c r="T44" t="s">
        <v>74</v>
      </c>
      <c r="U44" t="s">
        <v>74</v>
      </c>
      <c r="V44" t="s">
        <v>74</v>
      </c>
      <c r="W44" t="s">
        <v>747</v>
      </c>
      <c r="X44" t="s">
        <v>748</v>
      </c>
      <c r="Y44" t="s">
        <v>749</v>
      </c>
      <c r="Z44" t="s">
        <v>74</v>
      </c>
      <c r="AA44" t="s">
        <v>74</v>
      </c>
      <c r="AB44" t="s">
        <v>74</v>
      </c>
      <c r="AC44" t="s">
        <v>74</v>
      </c>
      <c r="AD44" t="s">
        <v>74</v>
      </c>
      <c r="AE44" t="s">
        <v>74</v>
      </c>
      <c r="AF44" t="s">
        <v>74</v>
      </c>
      <c r="AG44">
        <v>1</v>
      </c>
      <c r="AH44">
        <v>0</v>
      </c>
      <c r="AI44">
        <v>0</v>
      </c>
      <c r="AJ44">
        <v>0</v>
      </c>
      <c r="AK44">
        <v>0</v>
      </c>
      <c r="AL44" t="s">
        <v>750</v>
      </c>
      <c r="AM44" t="s">
        <v>751</v>
      </c>
      <c r="AN44" t="s">
        <v>752</v>
      </c>
      <c r="AO44" t="s">
        <v>377</v>
      </c>
      <c r="AP44" t="s">
        <v>378</v>
      </c>
      <c r="AQ44" t="s">
        <v>74</v>
      </c>
      <c r="AR44" t="s">
        <v>365</v>
      </c>
      <c r="AS44" t="s">
        <v>379</v>
      </c>
      <c r="AT44" t="s">
        <v>709</v>
      </c>
      <c r="AU44">
        <v>2004</v>
      </c>
      <c r="AV44">
        <v>432</v>
      </c>
      <c r="AW44">
        <v>7018</v>
      </c>
      <c r="AX44" t="s">
        <v>74</v>
      </c>
      <c r="AY44" t="s">
        <v>74</v>
      </c>
      <c r="AZ44" t="s">
        <v>74</v>
      </c>
      <c r="BA44" t="s">
        <v>74</v>
      </c>
      <c r="BB44">
        <v>675</v>
      </c>
      <c r="BC44">
        <v>676</v>
      </c>
      <c r="BD44" t="s">
        <v>74</v>
      </c>
      <c r="BE44" t="s">
        <v>753</v>
      </c>
      <c r="BF44" t="str">
        <f>HYPERLINK("http://dx.doi.org/10.1038/432675b","http://dx.doi.org/10.1038/432675b")</f>
        <v>http://dx.doi.org/10.1038/432675b</v>
      </c>
      <c r="BG44" t="s">
        <v>74</v>
      </c>
      <c r="BH44" t="s">
        <v>74</v>
      </c>
      <c r="BI44">
        <v>2</v>
      </c>
      <c r="BJ44" t="s">
        <v>381</v>
      </c>
      <c r="BK44" t="s">
        <v>139</v>
      </c>
      <c r="BL44" t="s">
        <v>382</v>
      </c>
      <c r="BM44" t="s">
        <v>754</v>
      </c>
      <c r="BN44" t="s">
        <v>74</v>
      </c>
      <c r="BO44" t="s">
        <v>74</v>
      </c>
      <c r="BP44" t="s">
        <v>74</v>
      </c>
      <c r="BQ44" t="s">
        <v>74</v>
      </c>
      <c r="BR44" t="s">
        <v>98</v>
      </c>
      <c r="BS44" t="s">
        <v>757</v>
      </c>
      <c r="BT44" t="str">
        <f>HYPERLINK("https%3A%2F%2Fwww.webofscience.com%2Fwos%2Fwoscc%2Ffull-record%2FWOS:000225597200024","View Full Record in Web of Science")</f>
        <v>View Full Record in Web of Science</v>
      </c>
    </row>
    <row r="45" spans="1:72" x14ac:dyDescent="0.15">
      <c r="A45" t="s">
        <v>122</v>
      </c>
      <c r="B45" t="s">
        <v>758</v>
      </c>
      <c r="C45" t="s">
        <v>74</v>
      </c>
      <c r="D45" t="s">
        <v>74</v>
      </c>
      <c r="E45" t="s">
        <v>74</v>
      </c>
      <c r="F45" t="s">
        <v>758</v>
      </c>
      <c r="G45" t="s">
        <v>74</v>
      </c>
      <c r="H45" t="s">
        <v>74</v>
      </c>
      <c r="I45" t="s">
        <v>759</v>
      </c>
      <c r="J45" t="s">
        <v>277</v>
      </c>
      <c r="K45" t="s">
        <v>74</v>
      </c>
      <c r="L45" t="s">
        <v>74</v>
      </c>
      <c r="M45" t="s">
        <v>79</v>
      </c>
      <c r="N45" t="s">
        <v>126</v>
      </c>
      <c r="O45" t="s">
        <v>74</v>
      </c>
      <c r="P45" t="s">
        <v>74</v>
      </c>
      <c r="Q45" t="s">
        <v>74</v>
      </c>
      <c r="R45" t="s">
        <v>74</v>
      </c>
      <c r="S45" t="s">
        <v>74</v>
      </c>
      <c r="T45" t="s">
        <v>760</v>
      </c>
      <c r="U45" t="s">
        <v>761</v>
      </c>
      <c r="V45" t="s">
        <v>762</v>
      </c>
      <c r="W45" t="s">
        <v>763</v>
      </c>
      <c r="X45" t="s">
        <v>764</v>
      </c>
      <c r="Y45" t="s">
        <v>765</v>
      </c>
      <c r="Z45" t="s">
        <v>766</v>
      </c>
      <c r="AA45" t="s">
        <v>74</v>
      </c>
      <c r="AB45" t="s">
        <v>74</v>
      </c>
      <c r="AC45" t="s">
        <v>74</v>
      </c>
      <c r="AD45" t="s">
        <v>74</v>
      </c>
      <c r="AE45" t="s">
        <v>74</v>
      </c>
      <c r="AF45" t="s">
        <v>74</v>
      </c>
      <c r="AG45">
        <v>39</v>
      </c>
      <c r="AH45">
        <v>48</v>
      </c>
      <c r="AI45">
        <v>53</v>
      </c>
      <c r="AJ45">
        <v>0</v>
      </c>
      <c r="AK45">
        <v>9</v>
      </c>
      <c r="AL45" t="s">
        <v>239</v>
      </c>
      <c r="AM45" t="s">
        <v>240</v>
      </c>
      <c r="AN45" t="s">
        <v>241</v>
      </c>
      <c r="AO45" t="s">
        <v>284</v>
      </c>
      <c r="AP45" t="s">
        <v>285</v>
      </c>
      <c r="AQ45" t="s">
        <v>74</v>
      </c>
      <c r="AR45" t="s">
        <v>286</v>
      </c>
      <c r="AS45" t="s">
        <v>287</v>
      </c>
      <c r="AT45" t="s">
        <v>767</v>
      </c>
      <c r="AU45">
        <v>2004</v>
      </c>
      <c r="AV45">
        <v>109</v>
      </c>
      <c r="AW45" t="s">
        <v>739</v>
      </c>
      <c r="AX45" t="s">
        <v>74</v>
      </c>
      <c r="AY45" t="s">
        <v>74</v>
      </c>
      <c r="AZ45" t="s">
        <v>74</v>
      </c>
      <c r="BA45" t="s">
        <v>74</v>
      </c>
      <c r="BB45" t="s">
        <v>74</v>
      </c>
      <c r="BC45" t="s">
        <v>74</v>
      </c>
      <c r="BD45" t="s">
        <v>768</v>
      </c>
      <c r="BE45" t="s">
        <v>769</v>
      </c>
      <c r="BF45" t="str">
        <f>HYPERLINK("http://dx.doi.org/10.1029/2003JD004446","http://dx.doi.org/10.1029/2003JD004446")</f>
        <v>http://dx.doi.org/10.1029/2003JD004446</v>
      </c>
      <c r="BG45" t="s">
        <v>74</v>
      </c>
      <c r="BH45" t="s">
        <v>74</v>
      </c>
      <c r="BI45">
        <v>9</v>
      </c>
      <c r="BJ45" t="s">
        <v>291</v>
      </c>
      <c r="BK45" t="s">
        <v>139</v>
      </c>
      <c r="BL45" t="s">
        <v>291</v>
      </c>
      <c r="BM45" t="s">
        <v>770</v>
      </c>
      <c r="BN45" t="s">
        <v>74</v>
      </c>
      <c r="BO45" t="s">
        <v>771</v>
      </c>
      <c r="BP45" t="s">
        <v>74</v>
      </c>
      <c r="BQ45" t="s">
        <v>74</v>
      </c>
      <c r="BR45" t="s">
        <v>98</v>
      </c>
      <c r="BS45" t="s">
        <v>772</v>
      </c>
      <c r="BT45" t="str">
        <f>HYPERLINK("https%3A%2F%2Fwww.webofscience.com%2Fwos%2Fwoscc%2Ffull-record%2FWOS:000225879400001","View Full Record in Web of Science")</f>
        <v>View Full Record in Web of Science</v>
      </c>
    </row>
    <row r="46" spans="1:72" x14ac:dyDescent="0.15">
      <c r="A46" t="s">
        <v>122</v>
      </c>
      <c r="B46" t="s">
        <v>773</v>
      </c>
      <c r="C46" t="s">
        <v>74</v>
      </c>
      <c r="D46" t="s">
        <v>74</v>
      </c>
      <c r="E46" t="s">
        <v>74</v>
      </c>
      <c r="F46" t="s">
        <v>773</v>
      </c>
      <c r="G46" t="s">
        <v>74</v>
      </c>
      <c r="H46" t="s">
        <v>74</v>
      </c>
      <c r="I46" t="s">
        <v>774</v>
      </c>
      <c r="J46" t="s">
        <v>311</v>
      </c>
      <c r="K46" t="s">
        <v>74</v>
      </c>
      <c r="L46" t="s">
        <v>74</v>
      </c>
      <c r="M46" t="s">
        <v>79</v>
      </c>
      <c r="N46" t="s">
        <v>126</v>
      </c>
      <c r="O46" t="s">
        <v>74</v>
      </c>
      <c r="P46" t="s">
        <v>74</v>
      </c>
      <c r="Q46" t="s">
        <v>74</v>
      </c>
      <c r="R46" t="s">
        <v>74</v>
      </c>
      <c r="S46" t="s">
        <v>74</v>
      </c>
      <c r="T46" t="s">
        <v>775</v>
      </c>
      <c r="U46" t="s">
        <v>776</v>
      </c>
      <c r="V46" t="s">
        <v>777</v>
      </c>
      <c r="W46" t="s">
        <v>778</v>
      </c>
      <c r="X46" t="s">
        <v>779</v>
      </c>
      <c r="Y46" t="s">
        <v>780</v>
      </c>
      <c r="Z46" t="s">
        <v>781</v>
      </c>
      <c r="AA46" t="s">
        <v>782</v>
      </c>
      <c r="AB46" t="s">
        <v>783</v>
      </c>
      <c r="AC46" t="s">
        <v>74</v>
      </c>
      <c r="AD46" t="s">
        <v>74</v>
      </c>
      <c r="AE46" t="s">
        <v>74</v>
      </c>
      <c r="AF46" t="s">
        <v>74</v>
      </c>
      <c r="AG46">
        <v>71</v>
      </c>
      <c r="AH46">
        <v>172</v>
      </c>
      <c r="AI46">
        <v>195</v>
      </c>
      <c r="AJ46">
        <v>0</v>
      </c>
      <c r="AK46">
        <v>30</v>
      </c>
      <c r="AL46" t="s">
        <v>239</v>
      </c>
      <c r="AM46" t="s">
        <v>240</v>
      </c>
      <c r="AN46" t="s">
        <v>241</v>
      </c>
      <c r="AO46" t="s">
        <v>321</v>
      </c>
      <c r="AP46" t="s">
        <v>439</v>
      </c>
      <c r="AQ46" t="s">
        <v>74</v>
      </c>
      <c r="AR46" t="s">
        <v>311</v>
      </c>
      <c r="AS46" t="s">
        <v>322</v>
      </c>
      <c r="AT46" t="s">
        <v>767</v>
      </c>
      <c r="AU46">
        <v>2004</v>
      </c>
      <c r="AV46">
        <v>19</v>
      </c>
      <c r="AW46">
        <v>4</v>
      </c>
      <c r="AX46" t="s">
        <v>74</v>
      </c>
      <c r="AY46" t="s">
        <v>74</v>
      </c>
      <c r="AZ46" t="s">
        <v>74</v>
      </c>
      <c r="BA46" t="s">
        <v>74</v>
      </c>
      <c r="BB46" t="s">
        <v>74</v>
      </c>
      <c r="BC46" t="s">
        <v>74</v>
      </c>
      <c r="BD46" t="s">
        <v>784</v>
      </c>
      <c r="BE46" t="s">
        <v>785</v>
      </c>
      <c r="BF46" t="str">
        <f>HYPERLINK("http://dx.doi.org/10.1029/2004PA001042","http://dx.doi.org/10.1029/2004PA001042")</f>
        <v>http://dx.doi.org/10.1029/2004PA001042</v>
      </c>
      <c r="BG46" t="s">
        <v>74</v>
      </c>
      <c r="BH46" t="s">
        <v>74</v>
      </c>
      <c r="BI46">
        <v>16</v>
      </c>
      <c r="BJ46" t="s">
        <v>326</v>
      </c>
      <c r="BK46" t="s">
        <v>139</v>
      </c>
      <c r="BL46" t="s">
        <v>327</v>
      </c>
      <c r="BM46" t="s">
        <v>786</v>
      </c>
      <c r="BN46" t="s">
        <v>74</v>
      </c>
      <c r="BO46" t="s">
        <v>329</v>
      </c>
      <c r="BP46" t="s">
        <v>74</v>
      </c>
      <c r="BQ46" t="s">
        <v>74</v>
      </c>
      <c r="BR46" t="s">
        <v>98</v>
      </c>
      <c r="BS46" t="s">
        <v>787</v>
      </c>
      <c r="BT46" t="str">
        <f>HYPERLINK("https%3A%2F%2Fwww.webofscience.com%2Fwos%2Fwoscc%2Ffull-record%2FWOS:000225880800002","View Full Record in Web of Science")</f>
        <v>View Full Record in Web of Science</v>
      </c>
    </row>
    <row r="47" spans="1:72" x14ac:dyDescent="0.15">
      <c r="A47" t="s">
        <v>122</v>
      </c>
      <c r="B47" t="s">
        <v>788</v>
      </c>
      <c r="C47" t="s">
        <v>74</v>
      </c>
      <c r="D47" t="s">
        <v>74</v>
      </c>
      <c r="E47" t="s">
        <v>74</v>
      </c>
      <c r="F47" t="s">
        <v>788</v>
      </c>
      <c r="G47" t="s">
        <v>74</v>
      </c>
      <c r="H47" t="s">
        <v>74</v>
      </c>
      <c r="I47" t="s">
        <v>789</v>
      </c>
      <c r="J47" t="s">
        <v>790</v>
      </c>
      <c r="K47" t="s">
        <v>74</v>
      </c>
      <c r="L47" t="s">
        <v>74</v>
      </c>
      <c r="M47" t="s">
        <v>79</v>
      </c>
      <c r="N47" t="s">
        <v>126</v>
      </c>
      <c r="O47" t="s">
        <v>74</v>
      </c>
      <c r="P47" t="s">
        <v>74</v>
      </c>
      <c r="Q47" t="s">
        <v>74</v>
      </c>
      <c r="R47" t="s">
        <v>74</v>
      </c>
      <c r="S47" t="s">
        <v>74</v>
      </c>
      <c r="T47" t="s">
        <v>791</v>
      </c>
      <c r="U47" t="s">
        <v>792</v>
      </c>
      <c r="V47" t="s">
        <v>793</v>
      </c>
      <c r="W47" t="s">
        <v>794</v>
      </c>
      <c r="X47" t="s">
        <v>795</v>
      </c>
      <c r="Y47" t="s">
        <v>796</v>
      </c>
      <c r="Z47" t="s">
        <v>797</v>
      </c>
      <c r="AA47" t="s">
        <v>798</v>
      </c>
      <c r="AB47" t="s">
        <v>799</v>
      </c>
      <c r="AC47" t="s">
        <v>74</v>
      </c>
      <c r="AD47" t="s">
        <v>74</v>
      </c>
      <c r="AE47" t="s">
        <v>74</v>
      </c>
      <c r="AF47" t="s">
        <v>74</v>
      </c>
      <c r="AG47">
        <v>19</v>
      </c>
      <c r="AH47">
        <v>86</v>
      </c>
      <c r="AI47">
        <v>97</v>
      </c>
      <c r="AJ47">
        <v>1</v>
      </c>
      <c r="AK47">
        <v>31</v>
      </c>
      <c r="AL47" t="s">
        <v>800</v>
      </c>
      <c r="AM47" t="s">
        <v>375</v>
      </c>
      <c r="AN47" t="s">
        <v>801</v>
      </c>
      <c r="AO47" t="s">
        <v>802</v>
      </c>
      <c r="AP47" t="s">
        <v>74</v>
      </c>
      <c r="AQ47" t="s">
        <v>74</v>
      </c>
      <c r="AR47" t="s">
        <v>803</v>
      </c>
      <c r="AS47" t="s">
        <v>804</v>
      </c>
      <c r="AT47" t="s">
        <v>805</v>
      </c>
      <c r="AU47">
        <v>2004</v>
      </c>
      <c r="AV47">
        <v>271</v>
      </c>
      <c r="AW47" t="s">
        <v>74</v>
      </c>
      <c r="AX47" t="s">
        <v>74</v>
      </c>
      <c r="AY47">
        <v>6</v>
      </c>
      <c r="AZ47" t="s">
        <v>74</v>
      </c>
      <c r="BA47" t="s">
        <v>74</v>
      </c>
      <c r="BB47" t="s">
        <v>806</v>
      </c>
      <c r="BC47" t="s">
        <v>807</v>
      </c>
      <c r="BD47" t="s">
        <v>74</v>
      </c>
      <c r="BE47" t="s">
        <v>808</v>
      </c>
      <c r="BF47" t="str">
        <f>HYPERLINK("http://dx.doi.org/10.1098/rsbl.2004.0201","http://dx.doi.org/10.1098/rsbl.2004.0201")</f>
        <v>http://dx.doi.org/10.1098/rsbl.2004.0201</v>
      </c>
      <c r="BG47" t="s">
        <v>74</v>
      </c>
      <c r="BH47" t="s">
        <v>74</v>
      </c>
      <c r="BI47">
        <v>4</v>
      </c>
      <c r="BJ47" t="s">
        <v>809</v>
      </c>
      <c r="BK47" t="s">
        <v>139</v>
      </c>
      <c r="BL47" t="s">
        <v>810</v>
      </c>
      <c r="BM47" t="s">
        <v>811</v>
      </c>
      <c r="BN47">
        <v>15801593</v>
      </c>
      <c r="BO47" t="s">
        <v>329</v>
      </c>
      <c r="BP47" t="s">
        <v>74</v>
      </c>
      <c r="BQ47" t="s">
        <v>74</v>
      </c>
      <c r="BR47" t="s">
        <v>98</v>
      </c>
      <c r="BS47" t="s">
        <v>812</v>
      </c>
      <c r="BT47" t="str">
        <f>HYPERLINK("https%3A%2F%2Fwww.webofscience.com%2Fwos%2Fwoscc%2Ffull-record%2FWOS:000226100600012","View Full Record in Web of Science")</f>
        <v>View Full Record in Web of Science</v>
      </c>
    </row>
    <row r="48" spans="1:72" x14ac:dyDescent="0.15">
      <c r="A48" t="s">
        <v>122</v>
      </c>
      <c r="B48" t="s">
        <v>813</v>
      </c>
      <c r="C48" t="s">
        <v>74</v>
      </c>
      <c r="D48" t="s">
        <v>74</v>
      </c>
      <c r="E48" t="s">
        <v>74</v>
      </c>
      <c r="F48" t="s">
        <v>813</v>
      </c>
      <c r="G48" t="s">
        <v>74</v>
      </c>
      <c r="H48" t="s">
        <v>74</v>
      </c>
      <c r="I48" t="s">
        <v>814</v>
      </c>
      <c r="J48" t="s">
        <v>815</v>
      </c>
      <c r="K48" t="s">
        <v>74</v>
      </c>
      <c r="L48" t="s">
        <v>74</v>
      </c>
      <c r="M48" t="s">
        <v>79</v>
      </c>
      <c r="N48" t="s">
        <v>126</v>
      </c>
      <c r="O48" t="s">
        <v>74</v>
      </c>
      <c r="P48" t="s">
        <v>74</v>
      </c>
      <c r="Q48" t="s">
        <v>74</v>
      </c>
      <c r="R48" t="s">
        <v>74</v>
      </c>
      <c r="S48" t="s">
        <v>74</v>
      </c>
      <c r="T48" t="s">
        <v>74</v>
      </c>
      <c r="U48" t="s">
        <v>816</v>
      </c>
      <c r="V48" t="s">
        <v>817</v>
      </c>
      <c r="W48" t="s">
        <v>818</v>
      </c>
      <c r="X48" t="s">
        <v>819</v>
      </c>
      <c r="Y48" t="s">
        <v>820</v>
      </c>
      <c r="Z48" t="s">
        <v>821</v>
      </c>
      <c r="AA48" t="s">
        <v>822</v>
      </c>
      <c r="AB48" t="s">
        <v>74</v>
      </c>
      <c r="AC48" t="s">
        <v>74</v>
      </c>
      <c r="AD48" t="s">
        <v>74</v>
      </c>
      <c r="AE48" t="s">
        <v>74</v>
      </c>
      <c r="AF48" t="s">
        <v>74</v>
      </c>
      <c r="AG48">
        <v>81</v>
      </c>
      <c r="AH48">
        <v>71</v>
      </c>
      <c r="AI48">
        <v>88</v>
      </c>
      <c r="AJ48">
        <v>0</v>
      </c>
      <c r="AK48">
        <v>9</v>
      </c>
      <c r="AL48" t="s">
        <v>823</v>
      </c>
      <c r="AM48" t="s">
        <v>824</v>
      </c>
      <c r="AN48" t="s">
        <v>825</v>
      </c>
      <c r="AO48" t="s">
        <v>826</v>
      </c>
      <c r="AP48" t="s">
        <v>827</v>
      </c>
      <c r="AQ48" t="s">
        <v>74</v>
      </c>
      <c r="AR48" t="s">
        <v>828</v>
      </c>
      <c r="AS48" t="s">
        <v>829</v>
      </c>
      <c r="AT48" t="s">
        <v>830</v>
      </c>
      <c r="AU48">
        <v>2004</v>
      </c>
      <c r="AV48">
        <v>4</v>
      </c>
      <c r="AW48" t="s">
        <v>74</v>
      </c>
      <c r="AX48" t="s">
        <v>74</v>
      </c>
      <c r="AY48" t="s">
        <v>74</v>
      </c>
      <c r="AZ48" t="s">
        <v>74</v>
      </c>
      <c r="BA48" t="s">
        <v>74</v>
      </c>
      <c r="BB48">
        <v>2427</v>
      </c>
      <c r="BC48">
        <v>2440</v>
      </c>
      <c r="BD48" t="s">
        <v>74</v>
      </c>
      <c r="BE48" t="s">
        <v>831</v>
      </c>
      <c r="BF48" t="str">
        <f>HYPERLINK("http://dx.doi.org/10.5194/acp-4-2427-2004","http://dx.doi.org/10.5194/acp-4-2427-2004")</f>
        <v>http://dx.doi.org/10.5194/acp-4-2427-2004</v>
      </c>
      <c r="BG48" t="s">
        <v>74</v>
      </c>
      <c r="BH48" t="s">
        <v>74</v>
      </c>
      <c r="BI48">
        <v>14</v>
      </c>
      <c r="BJ48" t="s">
        <v>832</v>
      </c>
      <c r="BK48" t="s">
        <v>139</v>
      </c>
      <c r="BL48" t="s">
        <v>833</v>
      </c>
      <c r="BM48" t="s">
        <v>834</v>
      </c>
      <c r="BN48" t="s">
        <v>74</v>
      </c>
      <c r="BO48" t="s">
        <v>835</v>
      </c>
      <c r="BP48" t="s">
        <v>74</v>
      </c>
      <c r="BQ48" t="s">
        <v>74</v>
      </c>
      <c r="BR48" t="s">
        <v>98</v>
      </c>
      <c r="BS48" t="s">
        <v>836</v>
      </c>
      <c r="BT48" t="str">
        <f>HYPERLINK("https%3A%2F%2Fwww.webofscience.com%2Fwos%2Fwoscc%2Ffull-record%2FWOS:000225546000001","View Full Record in Web of Science")</f>
        <v>View Full Record in Web of Science</v>
      </c>
    </row>
    <row r="49" spans="1:72" x14ac:dyDescent="0.15">
      <c r="A49" t="s">
        <v>122</v>
      </c>
      <c r="B49" t="s">
        <v>837</v>
      </c>
      <c r="C49" t="s">
        <v>74</v>
      </c>
      <c r="D49" t="s">
        <v>74</v>
      </c>
      <c r="E49" t="s">
        <v>74</v>
      </c>
      <c r="F49" t="s">
        <v>837</v>
      </c>
      <c r="G49" t="s">
        <v>74</v>
      </c>
      <c r="H49" t="s">
        <v>74</v>
      </c>
      <c r="I49" t="s">
        <v>838</v>
      </c>
      <c r="J49" t="s">
        <v>839</v>
      </c>
      <c r="K49" t="s">
        <v>74</v>
      </c>
      <c r="L49" t="s">
        <v>74</v>
      </c>
      <c r="M49" t="s">
        <v>79</v>
      </c>
      <c r="N49" t="s">
        <v>840</v>
      </c>
      <c r="O49" t="s">
        <v>74</v>
      </c>
      <c r="P49" t="s">
        <v>74</v>
      </c>
      <c r="Q49" t="s">
        <v>74</v>
      </c>
      <c r="R49" t="s">
        <v>74</v>
      </c>
      <c r="S49" t="s">
        <v>74</v>
      </c>
      <c r="T49" t="s">
        <v>74</v>
      </c>
      <c r="U49" t="s">
        <v>74</v>
      </c>
      <c r="V49" t="s">
        <v>74</v>
      </c>
      <c r="W49" t="s">
        <v>841</v>
      </c>
      <c r="X49" t="s">
        <v>842</v>
      </c>
      <c r="Y49" t="s">
        <v>843</v>
      </c>
      <c r="Z49" t="s">
        <v>844</v>
      </c>
      <c r="AA49" t="s">
        <v>74</v>
      </c>
      <c r="AB49" t="s">
        <v>74</v>
      </c>
      <c r="AC49" t="s">
        <v>74</v>
      </c>
      <c r="AD49" t="s">
        <v>74</v>
      </c>
      <c r="AE49" t="s">
        <v>74</v>
      </c>
      <c r="AF49" t="s">
        <v>74</v>
      </c>
      <c r="AG49">
        <v>0</v>
      </c>
      <c r="AH49">
        <v>0</v>
      </c>
      <c r="AI49">
        <v>0</v>
      </c>
      <c r="AJ49">
        <v>0</v>
      </c>
      <c r="AK49">
        <v>0</v>
      </c>
      <c r="AL49" t="s">
        <v>845</v>
      </c>
      <c r="AM49" t="s">
        <v>846</v>
      </c>
      <c r="AN49" t="s">
        <v>847</v>
      </c>
      <c r="AO49" t="s">
        <v>848</v>
      </c>
      <c r="AP49" t="s">
        <v>74</v>
      </c>
      <c r="AQ49" t="s">
        <v>74</v>
      </c>
      <c r="AR49" t="s">
        <v>849</v>
      </c>
      <c r="AS49" t="s">
        <v>850</v>
      </c>
      <c r="AT49" t="s">
        <v>830</v>
      </c>
      <c r="AU49">
        <v>2004</v>
      </c>
      <c r="AV49">
        <v>181</v>
      </c>
      <c r="AW49" t="s">
        <v>851</v>
      </c>
      <c r="AX49" t="s">
        <v>74</v>
      </c>
      <c r="AY49" t="s">
        <v>74</v>
      </c>
      <c r="AZ49" t="s">
        <v>74</v>
      </c>
      <c r="BA49" t="s">
        <v>74</v>
      </c>
      <c r="BB49">
        <v>648</v>
      </c>
      <c r="BC49">
        <v>648</v>
      </c>
      <c r="BD49" t="s">
        <v>74</v>
      </c>
      <c r="BE49" t="s">
        <v>852</v>
      </c>
      <c r="BF49" t="str">
        <f>HYPERLINK("http://dx.doi.org/10.5694/j.1326-5377.2004.tb06505.x","http://dx.doi.org/10.5694/j.1326-5377.2004.tb06505.x")</f>
        <v>http://dx.doi.org/10.5694/j.1326-5377.2004.tb06505.x</v>
      </c>
      <c r="BG49" t="s">
        <v>74</v>
      </c>
      <c r="BH49" t="s">
        <v>74</v>
      </c>
      <c r="BI49">
        <v>1</v>
      </c>
      <c r="BJ49" t="s">
        <v>853</v>
      </c>
      <c r="BK49" t="s">
        <v>139</v>
      </c>
      <c r="BL49" t="s">
        <v>854</v>
      </c>
      <c r="BM49" t="s">
        <v>855</v>
      </c>
      <c r="BN49" t="s">
        <v>74</v>
      </c>
      <c r="BO49" t="s">
        <v>74</v>
      </c>
      <c r="BP49" t="s">
        <v>74</v>
      </c>
      <c r="BQ49" t="s">
        <v>74</v>
      </c>
      <c r="BR49" t="s">
        <v>98</v>
      </c>
      <c r="BS49" t="s">
        <v>856</v>
      </c>
      <c r="BT49" t="str">
        <f>HYPERLINK("https%3A%2F%2Fwww.webofscience.com%2Fwos%2Fwoscc%2Ffull-record%2FWOS:000226061400031","View Full Record in Web of Science")</f>
        <v>View Full Record in Web of Science</v>
      </c>
    </row>
    <row r="50" spans="1:72" x14ac:dyDescent="0.15">
      <c r="A50" t="s">
        <v>122</v>
      </c>
      <c r="B50" t="s">
        <v>857</v>
      </c>
      <c r="C50" t="s">
        <v>74</v>
      </c>
      <c r="D50" t="s">
        <v>74</v>
      </c>
      <c r="E50" t="s">
        <v>74</v>
      </c>
      <c r="F50" t="s">
        <v>857</v>
      </c>
      <c r="G50" t="s">
        <v>74</v>
      </c>
      <c r="H50" t="s">
        <v>74</v>
      </c>
      <c r="I50" t="s">
        <v>858</v>
      </c>
      <c r="J50" t="s">
        <v>277</v>
      </c>
      <c r="K50" t="s">
        <v>74</v>
      </c>
      <c r="L50" t="s">
        <v>74</v>
      </c>
      <c r="M50" t="s">
        <v>79</v>
      </c>
      <c r="N50" t="s">
        <v>126</v>
      </c>
      <c r="O50" t="s">
        <v>74</v>
      </c>
      <c r="P50" t="s">
        <v>74</v>
      </c>
      <c r="Q50" t="s">
        <v>74</v>
      </c>
      <c r="R50" t="s">
        <v>74</v>
      </c>
      <c r="S50" t="s">
        <v>74</v>
      </c>
      <c r="T50" t="s">
        <v>859</v>
      </c>
      <c r="U50" t="s">
        <v>860</v>
      </c>
      <c r="V50" t="s">
        <v>861</v>
      </c>
      <c r="W50" t="s">
        <v>862</v>
      </c>
      <c r="X50" t="s">
        <v>863</v>
      </c>
      <c r="Y50" t="s">
        <v>864</v>
      </c>
      <c r="Z50" t="s">
        <v>865</v>
      </c>
      <c r="AA50" t="s">
        <v>866</v>
      </c>
      <c r="AB50" t="s">
        <v>867</v>
      </c>
      <c r="AC50" t="s">
        <v>74</v>
      </c>
      <c r="AD50" t="s">
        <v>74</v>
      </c>
      <c r="AE50" t="s">
        <v>74</v>
      </c>
      <c r="AF50" t="s">
        <v>74</v>
      </c>
      <c r="AG50">
        <v>28</v>
      </c>
      <c r="AH50">
        <v>51</v>
      </c>
      <c r="AI50">
        <v>59</v>
      </c>
      <c r="AJ50">
        <v>0</v>
      </c>
      <c r="AK50">
        <v>11</v>
      </c>
      <c r="AL50" t="s">
        <v>239</v>
      </c>
      <c r="AM50" t="s">
        <v>240</v>
      </c>
      <c r="AN50" t="s">
        <v>241</v>
      </c>
      <c r="AO50" t="s">
        <v>284</v>
      </c>
      <c r="AP50" t="s">
        <v>285</v>
      </c>
      <c r="AQ50" t="s">
        <v>74</v>
      </c>
      <c r="AR50" t="s">
        <v>286</v>
      </c>
      <c r="AS50" t="s">
        <v>287</v>
      </c>
      <c r="AT50" t="s">
        <v>868</v>
      </c>
      <c r="AU50">
        <v>2004</v>
      </c>
      <c r="AV50">
        <v>109</v>
      </c>
      <c r="AW50" t="s">
        <v>739</v>
      </c>
      <c r="AX50" t="s">
        <v>74</v>
      </c>
      <c r="AY50" t="s">
        <v>74</v>
      </c>
      <c r="AZ50" t="s">
        <v>74</v>
      </c>
      <c r="BA50" t="s">
        <v>74</v>
      </c>
      <c r="BB50" t="s">
        <v>74</v>
      </c>
      <c r="BC50" t="s">
        <v>74</v>
      </c>
      <c r="BD50" t="s">
        <v>869</v>
      </c>
      <c r="BE50" t="s">
        <v>870</v>
      </c>
      <c r="BF50" t="str">
        <f>HYPERLINK("http://dx.doi.org/10.1029/2004JD004870","http://dx.doi.org/10.1029/2004JD004870")</f>
        <v>http://dx.doi.org/10.1029/2004JD004870</v>
      </c>
      <c r="BG50" t="s">
        <v>74</v>
      </c>
      <c r="BH50" t="s">
        <v>74</v>
      </c>
      <c r="BI50">
        <v>12</v>
      </c>
      <c r="BJ50" t="s">
        <v>291</v>
      </c>
      <c r="BK50" t="s">
        <v>139</v>
      </c>
      <c r="BL50" t="s">
        <v>291</v>
      </c>
      <c r="BM50" t="s">
        <v>871</v>
      </c>
      <c r="BN50" t="s">
        <v>74</v>
      </c>
      <c r="BO50" t="s">
        <v>273</v>
      </c>
      <c r="BP50" t="s">
        <v>74</v>
      </c>
      <c r="BQ50" t="s">
        <v>74</v>
      </c>
      <c r="BR50" t="s">
        <v>98</v>
      </c>
      <c r="BS50" t="s">
        <v>872</v>
      </c>
      <c r="BT50" t="str">
        <f>HYPERLINK("https%3A%2F%2Fwww.webofscience.com%2Fwos%2Fwoscc%2Ffull-record%2FWOS:000225585000004","View Full Record in Web of Science")</f>
        <v>View Full Record in Web of Science</v>
      </c>
    </row>
    <row r="51" spans="1:72" x14ac:dyDescent="0.15">
      <c r="A51" t="s">
        <v>122</v>
      </c>
      <c r="B51" t="s">
        <v>873</v>
      </c>
      <c r="C51" t="s">
        <v>74</v>
      </c>
      <c r="D51" t="s">
        <v>74</v>
      </c>
      <c r="E51" t="s">
        <v>74</v>
      </c>
      <c r="F51" t="s">
        <v>873</v>
      </c>
      <c r="G51" t="s">
        <v>74</v>
      </c>
      <c r="H51" t="s">
        <v>74</v>
      </c>
      <c r="I51" t="s">
        <v>874</v>
      </c>
      <c r="J51" t="s">
        <v>875</v>
      </c>
      <c r="K51" t="s">
        <v>74</v>
      </c>
      <c r="L51" t="s">
        <v>74</v>
      </c>
      <c r="M51" t="s">
        <v>79</v>
      </c>
      <c r="N51" t="s">
        <v>126</v>
      </c>
      <c r="O51" t="s">
        <v>74</v>
      </c>
      <c r="P51" t="s">
        <v>74</v>
      </c>
      <c r="Q51" t="s">
        <v>74</v>
      </c>
      <c r="R51" t="s">
        <v>74</v>
      </c>
      <c r="S51" t="s">
        <v>74</v>
      </c>
      <c r="T51" t="s">
        <v>74</v>
      </c>
      <c r="U51" t="s">
        <v>876</v>
      </c>
      <c r="V51" t="s">
        <v>877</v>
      </c>
      <c r="W51" t="s">
        <v>878</v>
      </c>
      <c r="X51" t="s">
        <v>879</v>
      </c>
      <c r="Y51" t="s">
        <v>880</v>
      </c>
      <c r="Z51" t="s">
        <v>881</v>
      </c>
      <c r="AA51" t="s">
        <v>882</v>
      </c>
      <c r="AB51" t="s">
        <v>883</v>
      </c>
      <c r="AC51" t="s">
        <v>74</v>
      </c>
      <c r="AD51" t="s">
        <v>74</v>
      </c>
      <c r="AE51" t="s">
        <v>74</v>
      </c>
      <c r="AF51" t="s">
        <v>74</v>
      </c>
      <c r="AG51">
        <v>70</v>
      </c>
      <c r="AH51">
        <v>168</v>
      </c>
      <c r="AI51">
        <v>181</v>
      </c>
      <c r="AJ51">
        <v>1</v>
      </c>
      <c r="AK51">
        <v>43</v>
      </c>
      <c r="AL51" t="s">
        <v>884</v>
      </c>
      <c r="AM51" t="s">
        <v>375</v>
      </c>
      <c r="AN51" t="s">
        <v>885</v>
      </c>
      <c r="AO51" t="s">
        <v>886</v>
      </c>
      <c r="AP51" t="s">
        <v>887</v>
      </c>
      <c r="AQ51" t="s">
        <v>74</v>
      </c>
      <c r="AR51" t="s">
        <v>888</v>
      </c>
      <c r="AS51" t="s">
        <v>889</v>
      </c>
      <c r="AT51" t="s">
        <v>890</v>
      </c>
      <c r="AU51">
        <v>2004</v>
      </c>
      <c r="AV51">
        <v>68</v>
      </c>
      <c r="AW51" t="s">
        <v>74</v>
      </c>
      <c r="AX51">
        <v>6</v>
      </c>
      <c r="AY51" t="s">
        <v>74</v>
      </c>
      <c r="AZ51" t="s">
        <v>74</v>
      </c>
      <c r="BA51" t="s">
        <v>74</v>
      </c>
      <c r="BB51">
        <v>1349</v>
      </c>
      <c r="BC51">
        <v>1360</v>
      </c>
      <c r="BD51" t="s">
        <v>74</v>
      </c>
      <c r="BE51" t="s">
        <v>891</v>
      </c>
      <c r="BF51" t="str">
        <f>HYPERLINK("http://dx.doi.org/10.1016/j.anbehav.2003.12.013","http://dx.doi.org/10.1016/j.anbehav.2003.12.013")</f>
        <v>http://dx.doi.org/10.1016/j.anbehav.2003.12.013</v>
      </c>
      <c r="BG51" t="s">
        <v>74</v>
      </c>
      <c r="BH51" t="s">
        <v>74</v>
      </c>
      <c r="BI51">
        <v>12</v>
      </c>
      <c r="BJ51" t="s">
        <v>892</v>
      </c>
      <c r="BK51" t="s">
        <v>139</v>
      </c>
      <c r="BL51" t="s">
        <v>892</v>
      </c>
      <c r="BM51" t="s">
        <v>893</v>
      </c>
      <c r="BN51" t="s">
        <v>74</v>
      </c>
      <c r="BO51" t="s">
        <v>74</v>
      </c>
      <c r="BP51" t="s">
        <v>74</v>
      </c>
      <c r="BQ51" t="s">
        <v>74</v>
      </c>
      <c r="BR51" t="s">
        <v>98</v>
      </c>
      <c r="BS51" t="s">
        <v>894</v>
      </c>
      <c r="BT51" t="str">
        <f>HYPERLINK("https%3A%2F%2Fwww.webofscience.com%2Fwos%2Fwoscc%2Ffull-record%2FWOS:000226164500013","View Full Record in Web of Science")</f>
        <v>View Full Record in Web of Science</v>
      </c>
    </row>
    <row r="52" spans="1:72" x14ac:dyDescent="0.15">
      <c r="A52" t="s">
        <v>122</v>
      </c>
      <c r="B52" t="s">
        <v>895</v>
      </c>
      <c r="C52" t="s">
        <v>74</v>
      </c>
      <c r="D52" t="s">
        <v>74</v>
      </c>
      <c r="E52" t="s">
        <v>74</v>
      </c>
      <c r="F52" t="s">
        <v>895</v>
      </c>
      <c r="G52" t="s">
        <v>74</v>
      </c>
      <c r="H52" t="s">
        <v>74</v>
      </c>
      <c r="I52" t="s">
        <v>896</v>
      </c>
      <c r="J52" t="s">
        <v>897</v>
      </c>
      <c r="K52" t="s">
        <v>74</v>
      </c>
      <c r="L52" t="s">
        <v>74</v>
      </c>
      <c r="M52" t="s">
        <v>79</v>
      </c>
      <c r="N52" t="s">
        <v>126</v>
      </c>
      <c r="O52" t="s">
        <v>74</v>
      </c>
      <c r="P52" t="s">
        <v>74</v>
      </c>
      <c r="Q52" t="s">
        <v>74</v>
      </c>
      <c r="R52" t="s">
        <v>74</v>
      </c>
      <c r="S52" t="s">
        <v>74</v>
      </c>
      <c r="T52" t="s">
        <v>898</v>
      </c>
      <c r="U52" t="s">
        <v>899</v>
      </c>
      <c r="V52" t="s">
        <v>900</v>
      </c>
      <c r="W52" t="s">
        <v>901</v>
      </c>
      <c r="X52" t="s">
        <v>902</v>
      </c>
      <c r="Y52" t="s">
        <v>903</v>
      </c>
      <c r="Z52" t="s">
        <v>904</v>
      </c>
      <c r="AA52" t="s">
        <v>905</v>
      </c>
      <c r="AB52" t="s">
        <v>906</v>
      </c>
      <c r="AC52" t="s">
        <v>74</v>
      </c>
      <c r="AD52" t="s">
        <v>74</v>
      </c>
      <c r="AE52" t="s">
        <v>74</v>
      </c>
      <c r="AF52" t="s">
        <v>74</v>
      </c>
      <c r="AG52">
        <v>46</v>
      </c>
      <c r="AH52">
        <v>85</v>
      </c>
      <c r="AI52">
        <v>95</v>
      </c>
      <c r="AJ52">
        <v>2</v>
      </c>
      <c r="AK52">
        <v>47</v>
      </c>
      <c r="AL52" t="s">
        <v>196</v>
      </c>
      <c r="AM52" t="s">
        <v>197</v>
      </c>
      <c r="AN52" t="s">
        <v>198</v>
      </c>
      <c r="AO52" t="s">
        <v>907</v>
      </c>
      <c r="AP52" t="s">
        <v>908</v>
      </c>
      <c r="AQ52" t="s">
        <v>74</v>
      </c>
      <c r="AR52" t="s">
        <v>909</v>
      </c>
      <c r="AS52" t="s">
        <v>910</v>
      </c>
      <c r="AT52" t="s">
        <v>890</v>
      </c>
      <c r="AU52">
        <v>2004</v>
      </c>
      <c r="AV52">
        <v>94</v>
      </c>
      <c r="AW52">
        <v>6</v>
      </c>
      <c r="AX52" t="s">
        <v>74</v>
      </c>
      <c r="AY52" t="s">
        <v>74</v>
      </c>
      <c r="AZ52" t="s">
        <v>74</v>
      </c>
      <c r="BA52" t="s">
        <v>74</v>
      </c>
      <c r="BB52">
        <v>843</v>
      </c>
      <c r="BC52">
        <v>853</v>
      </c>
      <c r="BD52" t="s">
        <v>74</v>
      </c>
      <c r="BE52" t="s">
        <v>911</v>
      </c>
      <c r="BF52" t="str">
        <f>HYPERLINK("http://dx.doi.org/10.1093/aob/mch211","http://dx.doi.org/10.1093/aob/mch211")</f>
        <v>http://dx.doi.org/10.1093/aob/mch211</v>
      </c>
      <c r="BG52" t="s">
        <v>74</v>
      </c>
      <c r="BH52" t="s">
        <v>74</v>
      </c>
      <c r="BI52">
        <v>11</v>
      </c>
      <c r="BJ52" t="s">
        <v>912</v>
      </c>
      <c r="BK52" t="s">
        <v>139</v>
      </c>
      <c r="BL52" t="s">
        <v>912</v>
      </c>
      <c r="BM52" t="s">
        <v>913</v>
      </c>
      <c r="BN52">
        <v>15466877</v>
      </c>
      <c r="BO52" t="s">
        <v>329</v>
      </c>
      <c r="BP52" t="s">
        <v>74</v>
      </c>
      <c r="BQ52" t="s">
        <v>74</v>
      </c>
      <c r="BR52" t="s">
        <v>98</v>
      </c>
      <c r="BS52" t="s">
        <v>914</v>
      </c>
      <c r="BT52" t="str">
        <f>HYPERLINK("https%3A%2F%2Fwww.webofscience.com%2Fwos%2Fwoscc%2Ffull-record%2FWOS:000225703500009","View Full Record in Web of Science")</f>
        <v>View Full Record in Web of Science</v>
      </c>
    </row>
    <row r="53" spans="1:72" x14ac:dyDescent="0.15">
      <c r="A53" t="s">
        <v>122</v>
      </c>
      <c r="B53" t="s">
        <v>915</v>
      </c>
      <c r="C53" t="s">
        <v>74</v>
      </c>
      <c r="D53" t="s">
        <v>74</v>
      </c>
      <c r="E53" t="s">
        <v>74</v>
      </c>
      <c r="F53" t="s">
        <v>915</v>
      </c>
      <c r="G53" t="s">
        <v>74</v>
      </c>
      <c r="H53" t="s">
        <v>74</v>
      </c>
      <c r="I53" t="s">
        <v>916</v>
      </c>
      <c r="J53" t="s">
        <v>917</v>
      </c>
      <c r="K53" t="s">
        <v>74</v>
      </c>
      <c r="L53" t="s">
        <v>74</v>
      </c>
      <c r="M53" t="s">
        <v>79</v>
      </c>
      <c r="N53" t="s">
        <v>918</v>
      </c>
      <c r="O53" t="s">
        <v>74</v>
      </c>
      <c r="P53" t="s">
        <v>74</v>
      </c>
      <c r="Q53" t="s">
        <v>74</v>
      </c>
      <c r="R53" t="s">
        <v>74</v>
      </c>
      <c r="S53" t="s">
        <v>74</v>
      </c>
      <c r="T53" t="s">
        <v>74</v>
      </c>
      <c r="U53" t="s">
        <v>74</v>
      </c>
      <c r="V53" t="s">
        <v>74</v>
      </c>
      <c r="W53" t="s">
        <v>74</v>
      </c>
      <c r="X53" t="s">
        <v>74</v>
      </c>
      <c r="Y53" t="s">
        <v>74</v>
      </c>
      <c r="Z53" t="s">
        <v>74</v>
      </c>
      <c r="AA53" t="s">
        <v>74</v>
      </c>
      <c r="AB53" t="s">
        <v>74</v>
      </c>
      <c r="AC53" t="s">
        <v>74</v>
      </c>
      <c r="AD53" t="s">
        <v>74</v>
      </c>
      <c r="AE53" t="s">
        <v>74</v>
      </c>
      <c r="AF53" t="s">
        <v>74</v>
      </c>
      <c r="AG53">
        <v>0</v>
      </c>
      <c r="AH53">
        <v>0</v>
      </c>
      <c r="AI53">
        <v>0</v>
      </c>
      <c r="AJ53">
        <v>0</v>
      </c>
      <c r="AK53">
        <v>1</v>
      </c>
      <c r="AL53" t="s">
        <v>919</v>
      </c>
      <c r="AM53" t="s">
        <v>613</v>
      </c>
      <c r="AN53" t="s">
        <v>920</v>
      </c>
      <c r="AO53" t="s">
        <v>921</v>
      </c>
      <c r="AP53" t="s">
        <v>74</v>
      </c>
      <c r="AQ53" t="s">
        <v>74</v>
      </c>
      <c r="AR53" t="s">
        <v>922</v>
      </c>
      <c r="AS53" t="s">
        <v>923</v>
      </c>
      <c r="AT53" t="s">
        <v>890</v>
      </c>
      <c r="AU53">
        <v>2004</v>
      </c>
      <c r="AV53">
        <v>16</v>
      </c>
      <c r="AW53">
        <v>4</v>
      </c>
      <c r="AX53" t="s">
        <v>74</v>
      </c>
      <c r="AY53" t="s">
        <v>74</v>
      </c>
      <c r="AZ53" t="s">
        <v>74</v>
      </c>
      <c r="BA53" t="s">
        <v>74</v>
      </c>
      <c r="BB53">
        <v>361</v>
      </c>
      <c r="BC53">
        <v>361</v>
      </c>
      <c r="BD53" t="s">
        <v>74</v>
      </c>
      <c r="BE53" t="s">
        <v>924</v>
      </c>
      <c r="BF53" t="str">
        <f>HYPERLINK("http://dx.doi.org/10.1017/S0954102004002342","http://dx.doi.org/10.1017/S0954102004002342")</f>
        <v>http://dx.doi.org/10.1017/S0954102004002342</v>
      </c>
      <c r="BG53" t="s">
        <v>74</v>
      </c>
      <c r="BH53" t="s">
        <v>74</v>
      </c>
      <c r="BI53">
        <v>1</v>
      </c>
      <c r="BJ53" t="s">
        <v>925</v>
      </c>
      <c r="BK53" t="s">
        <v>139</v>
      </c>
      <c r="BL53" t="s">
        <v>926</v>
      </c>
      <c r="BM53" t="s">
        <v>927</v>
      </c>
      <c r="BN53" t="s">
        <v>74</v>
      </c>
      <c r="BO53" t="s">
        <v>273</v>
      </c>
      <c r="BP53" t="s">
        <v>74</v>
      </c>
      <c r="BQ53" t="s">
        <v>74</v>
      </c>
      <c r="BR53" t="s">
        <v>98</v>
      </c>
      <c r="BS53" t="s">
        <v>928</v>
      </c>
      <c r="BT53" t="str">
        <f>HYPERLINK("https%3A%2F%2Fwww.webofscience.com%2Fwos%2Fwoscc%2Ffull-record%2FWOS:000226060800001","View Full Record in Web of Science")</f>
        <v>View Full Record in Web of Science</v>
      </c>
    </row>
    <row r="54" spans="1:72" x14ac:dyDescent="0.15">
      <c r="A54" t="s">
        <v>122</v>
      </c>
      <c r="B54" t="s">
        <v>929</v>
      </c>
      <c r="C54" t="s">
        <v>74</v>
      </c>
      <c r="D54" t="s">
        <v>74</v>
      </c>
      <c r="E54" t="s">
        <v>74</v>
      </c>
      <c r="F54" t="s">
        <v>929</v>
      </c>
      <c r="G54" t="s">
        <v>74</v>
      </c>
      <c r="H54" t="s">
        <v>74</v>
      </c>
      <c r="I54" t="s">
        <v>930</v>
      </c>
      <c r="J54" t="s">
        <v>917</v>
      </c>
      <c r="K54" t="s">
        <v>74</v>
      </c>
      <c r="L54" t="s">
        <v>74</v>
      </c>
      <c r="M54" t="s">
        <v>79</v>
      </c>
      <c r="N54" t="s">
        <v>126</v>
      </c>
      <c r="O54" t="s">
        <v>74</v>
      </c>
      <c r="P54" t="s">
        <v>74</v>
      </c>
      <c r="Q54" t="s">
        <v>74</v>
      </c>
      <c r="R54" t="s">
        <v>74</v>
      </c>
      <c r="S54" t="s">
        <v>74</v>
      </c>
      <c r="T54" t="s">
        <v>931</v>
      </c>
      <c r="U54" t="s">
        <v>932</v>
      </c>
      <c r="V54" t="s">
        <v>933</v>
      </c>
      <c r="W54" t="s">
        <v>934</v>
      </c>
      <c r="X54" t="s">
        <v>935</v>
      </c>
      <c r="Y54" t="s">
        <v>936</v>
      </c>
      <c r="Z54" t="s">
        <v>74</v>
      </c>
      <c r="AA54" t="s">
        <v>74</v>
      </c>
      <c r="AB54" t="s">
        <v>74</v>
      </c>
      <c r="AC54" t="s">
        <v>74</v>
      </c>
      <c r="AD54" t="s">
        <v>74</v>
      </c>
      <c r="AE54" t="s">
        <v>74</v>
      </c>
      <c r="AF54" t="s">
        <v>74</v>
      </c>
      <c r="AG54">
        <v>14</v>
      </c>
      <c r="AH54">
        <v>7</v>
      </c>
      <c r="AI54">
        <v>8</v>
      </c>
      <c r="AJ54">
        <v>0</v>
      </c>
      <c r="AK54">
        <v>11</v>
      </c>
      <c r="AL54" t="s">
        <v>919</v>
      </c>
      <c r="AM54" t="s">
        <v>613</v>
      </c>
      <c r="AN54" t="s">
        <v>937</v>
      </c>
      <c r="AO54" t="s">
        <v>921</v>
      </c>
      <c r="AP54" t="s">
        <v>938</v>
      </c>
      <c r="AQ54" t="s">
        <v>74</v>
      </c>
      <c r="AR54" t="s">
        <v>922</v>
      </c>
      <c r="AS54" t="s">
        <v>923</v>
      </c>
      <c r="AT54" t="s">
        <v>890</v>
      </c>
      <c r="AU54">
        <v>2004</v>
      </c>
      <c r="AV54">
        <v>16</v>
      </c>
      <c r="AW54">
        <v>4</v>
      </c>
      <c r="AX54" t="s">
        <v>74</v>
      </c>
      <c r="AY54" t="s">
        <v>74</v>
      </c>
      <c r="AZ54" t="s">
        <v>74</v>
      </c>
      <c r="BA54" t="s">
        <v>74</v>
      </c>
      <c r="BB54">
        <v>363</v>
      </c>
      <c r="BC54">
        <v>368</v>
      </c>
      <c r="BD54" t="s">
        <v>74</v>
      </c>
      <c r="BE54" t="s">
        <v>939</v>
      </c>
      <c r="BF54" t="str">
        <f>HYPERLINK("http://dx.doi.org/10.1017/S0954102004002196","http://dx.doi.org/10.1017/S0954102004002196")</f>
        <v>http://dx.doi.org/10.1017/S0954102004002196</v>
      </c>
      <c r="BG54" t="s">
        <v>74</v>
      </c>
      <c r="BH54" t="s">
        <v>74</v>
      </c>
      <c r="BI54">
        <v>6</v>
      </c>
      <c r="BJ54" t="s">
        <v>925</v>
      </c>
      <c r="BK54" t="s">
        <v>139</v>
      </c>
      <c r="BL54" t="s">
        <v>926</v>
      </c>
      <c r="BM54" t="s">
        <v>927</v>
      </c>
      <c r="BN54" t="s">
        <v>74</v>
      </c>
      <c r="BO54" t="s">
        <v>74</v>
      </c>
      <c r="BP54" t="s">
        <v>74</v>
      </c>
      <c r="BQ54" t="s">
        <v>74</v>
      </c>
      <c r="BR54" t="s">
        <v>98</v>
      </c>
      <c r="BS54" t="s">
        <v>940</v>
      </c>
      <c r="BT54" t="str">
        <f>HYPERLINK("https%3A%2F%2Fwww.webofscience.com%2Fwos%2Fwoscc%2Ffull-record%2FWOS:000226060800002","View Full Record in Web of Science")</f>
        <v>View Full Record in Web of Science</v>
      </c>
    </row>
    <row r="55" spans="1:72" x14ac:dyDescent="0.15">
      <c r="A55" t="s">
        <v>122</v>
      </c>
      <c r="B55" t="s">
        <v>941</v>
      </c>
      <c r="C55" t="s">
        <v>74</v>
      </c>
      <c r="D55" t="s">
        <v>74</v>
      </c>
      <c r="E55" t="s">
        <v>74</v>
      </c>
      <c r="F55" t="s">
        <v>941</v>
      </c>
      <c r="G55" t="s">
        <v>74</v>
      </c>
      <c r="H55" t="s">
        <v>74</v>
      </c>
      <c r="I55" t="s">
        <v>942</v>
      </c>
      <c r="J55" t="s">
        <v>917</v>
      </c>
      <c r="K55" t="s">
        <v>74</v>
      </c>
      <c r="L55" t="s">
        <v>74</v>
      </c>
      <c r="M55" t="s">
        <v>79</v>
      </c>
      <c r="N55" t="s">
        <v>581</v>
      </c>
      <c r="O55" t="s">
        <v>74</v>
      </c>
      <c r="P55" t="s">
        <v>74</v>
      </c>
      <c r="Q55" t="s">
        <v>74</v>
      </c>
      <c r="R55" t="s">
        <v>74</v>
      </c>
      <c r="S55" t="s">
        <v>74</v>
      </c>
      <c r="T55" t="s">
        <v>943</v>
      </c>
      <c r="U55" t="s">
        <v>944</v>
      </c>
      <c r="V55" t="s">
        <v>945</v>
      </c>
      <c r="W55" t="s">
        <v>547</v>
      </c>
      <c r="X55" t="s">
        <v>548</v>
      </c>
      <c r="Y55" t="s">
        <v>946</v>
      </c>
      <c r="Z55" t="s">
        <v>947</v>
      </c>
      <c r="AA55" t="s">
        <v>948</v>
      </c>
      <c r="AB55" t="s">
        <v>949</v>
      </c>
      <c r="AC55" t="s">
        <v>74</v>
      </c>
      <c r="AD55" t="s">
        <v>74</v>
      </c>
      <c r="AE55" t="s">
        <v>74</v>
      </c>
      <c r="AF55" t="s">
        <v>74</v>
      </c>
      <c r="AG55">
        <v>136</v>
      </c>
      <c r="AH55">
        <v>46</v>
      </c>
      <c r="AI55">
        <v>50</v>
      </c>
      <c r="AJ55">
        <v>2</v>
      </c>
      <c r="AK55">
        <v>34</v>
      </c>
      <c r="AL55" t="s">
        <v>919</v>
      </c>
      <c r="AM55" t="s">
        <v>613</v>
      </c>
      <c r="AN55" t="s">
        <v>937</v>
      </c>
      <c r="AO55" t="s">
        <v>921</v>
      </c>
      <c r="AP55" t="s">
        <v>938</v>
      </c>
      <c r="AQ55" t="s">
        <v>74</v>
      </c>
      <c r="AR55" t="s">
        <v>922</v>
      </c>
      <c r="AS55" t="s">
        <v>923</v>
      </c>
      <c r="AT55" t="s">
        <v>890</v>
      </c>
      <c r="AU55">
        <v>2004</v>
      </c>
      <c r="AV55">
        <v>16</v>
      </c>
      <c r="AW55">
        <v>4</v>
      </c>
      <c r="AX55" t="s">
        <v>74</v>
      </c>
      <c r="AY55" t="s">
        <v>74</v>
      </c>
      <c r="AZ55" t="s">
        <v>74</v>
      </c>
      <c r="BA55" t="s">
        <v>74</v>
      </c>
      <c r="BB55">
        <v>369</v>
      </c>
      <c r="BC55">
        <v>386</v>
      </c>
      <c r="BD55" t="s">
        <v>74</v>
      </c>
      <c r="BE55" t="s">
        <v>950</v>
      </c>
      <c r="BF55" t="str">
        <f>HYPERLINK("http://dx.doi.org/10.1017/S0954102004002202","http://dx.doi.org/10.1017/S0954102004002202")</f>
        <v>http://dx.doi.org/10.1017/S0954102004002202</v>
      </c>
      <c r="BG55" t="s">
        <v>74</v>
      </c>
      <c r="BH55" t="s">
        <v>74</v>
      </c>
      <c r="BI55">
        <v>18</v>
      </c>
      <c r="BJ55" t="s">
        <v>925</v>
      </c>
      <c r="BK55" t="s">
        <v>139</v>
      </c>
      <c r="BL55" t="s">
        <v>926</v>
      </c>
      <c r="BM55" t="s">
        <v>927</v>
      </c>
      <c r="BN55" t="s">
        <v>74</v>
      </c>
      <c r="BO55" t="s">
        <v>74</v>
      </c>
      <c r="BP55" t="s">
        <v>74</v>
      </c>
      <c r="BQ55" t="s">
        <v>74</v>
      </c>
      <c r="BR55" t="s">
        <v>98</v>
      </c>
      <c r="BS55" t="s">
        <v>951</v>
      </c>
      <c r="BT55" t="str">
        <f>HYPERLINK("https%3A%2F%2Fwww.webofscience.com%2Fwos%2Fwoscc%2Ffull-record%2FWOS:000226060800003","View Full Record in Web of Science")</f>
        <v>View Full Record in Web of Science</v>
      </c>
    </row>
    <row r="56" spans="1:72" x14ac:dyDescent="0.15">
      <c r="A56" t="s">
        <v>122</v>
      </c>
      <c r="B56" t="s">
        <v>952</v>
      </c>
      <c r="C56" t="s">
        <v>74</v>
      </c>
      <c r="D56" t="s">
        <v>74</v>
      </c>
      <c r="E56" t="s">
        <v>74</v>
      </c>
      <c r="F56" t="s">
        <v>952</v>
      </c>
      <c r="G56" t="s">
        <v>74</v>
      </c>
      <c r="H56" t="s">
        <v>74</v>
      </c>
      <c r="I56" t="s">
        <v>953</v>
      </c>
      <c r="J56" t="s">
        <v>917</v>
      </c>
      <c r="K56" t="s">
        <v>74</v>
      </c>
      <c r="L56" t="s">
        <v>74</v>
      </c>
      <c r="M56" t="s">
        <v>79</v>
      </c>
      <c r="N56" t="s">
        <v>126</v>
      </c>
      <c r="O56" t="s">
        <v>74</v>
      </c>
      <c r="P56" t="s">
        <v>74</v>
      </c>
      <c r="Q56" t="s">
        <v>74</v>
      </c>
      <c r="R56" t="s">
        <v>74</v>
      </c>
      <c r="S56" t="s">
        <v>74</v>
      </c>
      <c r="T56" t="s">
        <v>954</v>
      </c>
      <c r="U56" t="s">
        <v>955</v>
      </c>
      <c r="V56" t="s">
        <v>956</v>
      </c>
      <c r="W56" t="s">
        <v>957</v>
      </c>
      <c r="X56" t="s">
        <v>958</v>
      </c>
      <c r="Y56" t="s">
        <v>959</v>
      </c>
      <c r="Z56" t="s">
        <v>960</v>
      </c>
      <c r="AA56" t="s">
        <v>961</v>
      </c>
      <c r="AB56" t="s">
        <v>962</v>
      </c>
      <c r="AC56" t="s">
        <v>74</v>
      </c>
      <c r="AD56" t="s">
        <v>74</v>
      </c>
      <c r="AE56" t="s">
        <v>74</v>
      </c>
      <c r="AF56" t="s">
        <v>74</v>
      </c>
      <c r="AG56">
        <v>63</v>
      </c>
      <c r="AH56">
        <v>109</v>
      </c>
      <c r="AI56">
        <v>129</v>
      </c>
      <c r="AJ56">
        <v>0</v>
      </c>
      <c r="AK56">
        <v>23</v>
      </c>
      <c r="AL56" t="s">
        <v>919</v>
      </c>
      <c r="AM56" t="s">
        <v>613</v>
      </c>
      <c r="AN56" t="s">
        <v>937</v>
      </c>
      <c r="AO56" t="s">
        <v>921</v>
      </c>
      <c r="AP56" t="s">
        <v>938</v>
      </c>
      <c r="AQ56" t="s">
        <v>74</v>
      </c>
      <c r="AR56" t="s">
        <v>922</v>
      </c>
      <c r="AS56" t="s">
        <v>923</v>
      </c>
      <c r="AT56" t="s">
        <v>890</v>
      </c>
      <c r="AU56">
        <v>2004</v>
      </c>
      <c r="AV56">
        <v>16</v>
      </c>
      <c r="AW56">
        <v>4</v>
      </c>
      <c r="AX56" t="s">
        <v>74</v>
      </c>
      <c r="AY56" t="s">
        <v>74</v>
      </c>
      <c r="AZ56" t="s">
        <v>74</v>
      </c>
      <c r="BA56" t="s">
        <v>74</v>
      </c>
      <c r="BB56">
        <v>387</v>
      </c>
      <c r="BC56">
        <v>400</v>
      </c>
      <c r="BD56" t="s">
        <v>74</v>
      </c>
      <c r="BE56" t="s">
        <v>963</v>
      </c>
      <c r="BF56" t="str">
        <f>HYPERLINK("http://dx.doi.org/10.1017/S0954102004002214","http://dx.doi.org/10.1017/S0954102004002214")</f>
        <v>http://dx.doi.org/10.1017/S0954102004002214</v>
      </c>
      <c r="BG56" t="s">
        <v>74</v>
      </c>
      <c r="BH56" t="s">
        <v>74</v>
      </c>
      <c r="BI56">
        <v>14</v>
      </c>
      <c r="BJ56" t="s">
        <v>925</v>
      </c>
      <c r="BK56" t="s">
        <v>139</v>
      </c>
      <c r="BL56" t="s">
        <v>926</v>
      </c>
      <c r="BM56" t="s">
        <v>927</v>
      </c>
      <c r="BN56" t="s">
        <v>74</v>
      </c>
      <c r="BO56" t="s">
        <v>74</v>
      </c>
      <c r="BP56" t="s">
        <v>74</v>
      </c>
      <c r="BQ56" t="s">
        <v>74</v>
      </c>
      <c r="BR56" t="s">
        <v>98</v>
      </c>
      <c r="BS56" t="s">
        <v>964</v>
      </c>
      <c r="BT56" t="str">
        <f>HYPERLINK("https%3A%2F%2Fwww.webofscience.com%2Fwos%2Fwoscc%2Ffull-record%2FWOS:000226060800004","View Full Record in Web of Science")</f>
        <v>View Full Record in Web of Science</v>
      </c>
    </row>
    <row r="57" spans="1:72" x14ac:dyDescent="0.15">
      <c r="A57" t="s">
        <v>122</v>
      </c>
      <c r="B57" t="s">
        <v>965</v>
      </c>
      <c r="C57" t="s">
        <v>74</v>
      </c>
      <c r="D57" t="s">
        <v>74</v>
      </c>
      <c r="E57" t="s">
        <v>74</v>
      </c>
      <c r="F57" t="s">
        <v>965</v>
      </c>
      <c r="G57" t="s">
        <v>74</v>
      </c>
      <c r="H57" t="s">
        <v>74</v>
      </c>
      <c r="I57" t="s">
        <v>966</v>
      </c>
      <c r="J57" t="s">
        <v>917</v>
      </c>
      <c r="K57" t="s">
        <v>74</v>
      </c>
      <c r="L57" t="s">
        <v>74</v>
      </c>
      <c r="M57" t="s">
        <v>79</v>
      </c>
      <c r="N57" t="s">
        <v>126</v>
      </c>
      <c r="O57" t="s">
        <v>74</v>
      </c>
      <c r="P57" t="s">
        <v>74</v>
      </c>
      <c r="Q57" t="s">
        <v>74</v>
      </c>
      <c r="R57" t="s">
        <v>74</v>
      </c>
      <c r="S57" t="s">
        <v>74</v>
      </c>
      <c r="T57" t="s">
        <v>967</v>
      </c>
      <c r="U57" t="s">
        <v>968</v>
      </c>
      <c r="V57" t="s">
        <v>969</v>
      </c>
      <c r="W57" t="s">
        <v>970</v>
      </c>
      <c r="X57" t="s">
        <v>971</v>
      </c>
      <c r="Y57" t="s">
        <v>972</v>
      </c>
      <c r="Z57" t="s">
        <v>973</v>
      </c>
      <c r="AA57" t="s">
        <v>74</v>
      </c>
      <c r="AB57" t="s">
        <v>974</v>
      </c>
      <c r="AC57" t="s">
        <v>74</v>
      </c>
      <c r="AD57" t="s">
        <v>74</v>
      </c>
      <c r="AE57" t="s">
        <v>74</v>
      </c>
      <c r="AF57" t="s">
        <v>74</v>
      </c>
      <c r="AG57">
        <v>98</v>
      </c>
      <c r="AH57">
        <v>72</v>
      </c>
      <c r="AI57">
        <v>73</v>
      </c>
      <c r="AJ57">
        <v>0</v>
      </c>
      <c r="AK57">
        <v>22</v>
      </c>
      <c r="AL57" t="s">
        <v>919</v>
      </c>
      <c r="AM57" t="s">
        <v>613</v>
      </c>
      <c r="AN57" t="s">
        <v>937</v>
      </c>
      <c r="AO57" t="s">
        <v>921</v>
      </c>
      <c r="AP57" t="s">
        <v>938</v>
      </c>
      <c r="AQ57" t="s">
        <v>74</v>
      </c>
      <c r="AR57" t="s">
        <v>922</v>
      </c>
      <c r="AS57" t="s">
        <v>923</v>
      </c>
      <c r="AT57" t="s">
        <v>890</v>
      </c>
      <c r="AU57">
        <v>2004</v>
      </c>
      <c r="AV57">
        <v>16</v>
      </c>
      <c r="AW57">
        <v>4</v>
      </c>
      <c r="AX57" t="s">
        <v>74</v>
      </c>
      <c r="AY57" t="s">
        <v>74</v>
      </c>
      <c r="AZ57" t="s">
        <v>74</v>
      </c>
      <c r="BA57" t="s">
        <v>74</v>
      </c>
      <c r="BB57">
        <v>401</v>
      </c>
      <c r="BC57">
        <v>413</v>
      </c>
      <c r="BD57" t="s">
        <v>74</v>
      </c>
      <c r="BE57" t="s">
        <v>975</v>
      </c>
      <c r="BF57" t="str">
        <f>HYPERLINK("http://dx.doi.org/10.1017/S0954102004002226","http://dx.doi.org/10.1017/S0954102004002226")</f>
        <v>http://dx.doi.org/10.1017/S0954102004002226</v>
      </c>
      <c r="BG57" t="s">
        <v>74</v>
      </c>
      <c r="BH57" t="s">
        <v>74</v>
      </c>
      <c r="BI57">
        <v>13</v>
      </c>
      <c r="BJ57" t="s">
        <v>925</v>
      </c>
      <c r="BK57" t="s">
        <v>139</v>
      </c>
      <c r="BL57" t="s">
        <v>926</v>
      </c>
      <c r="BM57" t="s">
        <v>927</v>
      </c>
      <c r="BN57" t="s">
        <v>74</v>
      </c>
      <c r="BO57" t="s">
        <v>74</v>
      </c>
      <c r="BP57" t="s">
        <v>74</v>
      </c>
      <c r="BQ57" t="s">
        <v>74</v>
      </c>
      <c r="BR57" t="s">
        <v>98</v>
      </c>
      <c r="BS57" t="s">
        <v>976</v>
      </c>
      <c r="BT57" t="str">
        <f>HYPERLINK("https%3A%2F%2Fwww.webofscience.com%2Fwos%2Fwoscc%2Ffull-record%2FWOS:000226060800005","View Full Record in Web of Science")</f>
        <v>View Full Record in Web of Science</v>
      </c>
    </row>
    <row r="58" spans="1:72" x14ac:dyDescent="0.15">
      <c r="A58" t="s">
        <v>122</v>
      </c>
      <c r="B58" t="s">
        <v>977</v>
      </c>
      <c r="C58" t="s">
        <v>74</v>
      </c>
      <c r="D58" t="s">
        <v>74</v>
      </c>
      <c r="E58" t="s">
        <v>74</v>
      </c>
      <c r="F58" t="s">
        <v>977</v>
      </c>
      <c r="G58" t="s">
        <v>74</v>
      </c>
      <c r="H58" t="s">
        <v>74</v>
      </c>
      <c r="I58" t="s">
        <v>978</v>
      </c>
      <c r="J58" t="s">
        <v>917</v>
      </c>
      <c r="K58" t="s">
        <v>74</v>
      </c>
      <c r="L58" t="s">
        <v>74</v>
      </c>
      <c r="M58" t="s">
        <v>79</v>
      </c>
      <c r="N58" t="s">
        <v>126</v>
      </c>
      <c r="O58" t="s">
        <v>74</v>
      </c>
      <c r="P58" t="s">
        <v>74</v>
      </c>
      <c r="Q58" t="s">
        <v>74</v>
      </c>
      <c r="R58" t="s">
        <v>74</v>
      </c>
      <c r="S58" t="s">
        <v>74</v>
      </c>
      <c r="T58" t="s">
        <v>979</v>
      </c>
      <c r="U58" t="s">
        <v>980</v>
      </c>
      <c r="V58" t="s">
        <v>981</v>
      </c>
      <c r="W58" t="s">
        <v>982</v>
      </c>
      <c r="X58" t="s">
        <v>463</v>
      </c>
      <c r="Y58" t="s">
        <v>983</v>
      </c>
      <c r="Z58" t="s">
        <v>984</v>
      </c>
      <c r="AA58" t="s">
        <v>985</v>
      </c>
      <c r="AB58" t="s">
        <v>986</v>
      </c>
      <c r="AC58" t="s">
        <v>74</v>
      </c>
      <c r="AD58" t="s">
        <v>74</v>
      </c>
      <c r="AE58" t="s">
        <v>74</v>
      </c>
      <c r="AF58" t="s">
        <v>74</v>
      </c>
      <c r="AG58">
        <v>46</v>
      </c>
      <c r="AH58">
        <v>317</v>
      </c>
      <c r="AI58">
        <v>368</v>
      </c>
      <c r="AJ58">
        <v>4</v>
      </c>
      <c r="AK58">
        <v>68</v>
      </c>
      <c r="AL58" t="s">
        <v>919</v>
      </c>
      <c r="AM58" t="s">
        <v>613</v>
      </c>
      <c r="AN58" t="s">
        <v>937</v>
      </c>
      <c r="AO58" t="s">
        <v>921</v>
      </c>
      <c r="AP58" t="s">
        <v>938</v>
      </c>
      <c r="AQ58" t="s">
        <v>74</v>
      </c>
      <c r="AR58" t="s">
        <v>922</v>
      </c>
      <c r="AS58" t="s">
        <v>923</v>
      </c>
      <c r="AT58" t="s">
        <v>890</v>
      </c>
      <c r="AU58">
        <v>2004</v>
      </c>
      <c r="AV58">
        <v>16</v>
      </c>
      <c r="AW58">
        <v>4</v>
      </c>
      <c r="AX58" t="s">
        <v>74</v>
      </c>
      <c r="AY58" t="s">
        <v>74</v>
      </c>
      <c r="AZ58" t="s">
        <v>74</v>
      </c>
      <c r="BA58" t="s">
        <v>74</v>
      </c>
      <c r="BB58">
        <v>415</v>
      </c>
      <c r="BC58">
        <v>425</v>
      </c>
      <c r="BD58" t="s">
        <v>74</v>
      </c>
      <c r="BE58" t="s">
        <v>987</v>
      </c>
      <c r="BF58" t="str">
        <f>HYPERLINK("http://dx.doi.org/10.1017/S0954102004002238","http://dx.doi.org/10.1017/S0954102004002238")</f>
        <v>http://dx.doi.org/10.1017/S0954102004002238</v>
      </c>
      <c r="BG58" t="s">
        <v>74</v>
      </c>
      <c r="BH58" t="s">
        <v>74</v>
      </c>
      <c r="BI58">
        <v>11</v>
      </c>
      <c r="BJ58" t="s">
        <v>925</v>
      </c>
      <c r="BK58" t="s">
        <v>139</v>
      </c>
      <c r="BL58" t="s">
        <v>926</v>
      </c>
      <c r="BM58" t="s">
        <v>927</v>
      </c>
      <c r="BN58" t="s">
        <v>74</v>
      </c>
      <c r="BO58" t="s">
        <v>988</v>
      </c>
      <c r="BP58" t="s">
        <v>74</v>
      </c>
      <c r="BQ58" t="s">
        <v>74</v>
      </c>
      <c r="BR58" t="s">
        <v>98</v>
      </c>
      <c r="BS58" t="s">
        <v>989</v>
      </c>
      <c r="BT58" t="str">
        <f>HYPERLINK("https%3A%2F%2Fwww.webofscience.com%2Fwos%2Fwoscc%2Ffull-record%2FWOS:000226060800006","View Full Record in Web of Science")</f>
        <v>View Full Record in Web of Science</v>
      </c>
    </row>
    <row r="59" spans="1:72" x14ac:dyDescent="0.15">
      <c r="A59" t="s">
        <v>122</v>
      </c>
      <c r="B59" t="s">
        <v>990</v>
      </c>
      <c r="C59" t="s">
        <v>74</v>
      </c>
      <c r="D59" t="s">
        <v>74</v>
      </c>
      <c r="E59" t="s">
        <v>74</v>
      </c>
      <c r="F59" t="s">
        <v>990</v>
      </c>
      <c r="G59" t="s">
        <v>74</v>
      </c>
      <c r="H59" t="s">
        <v>74</v>
      </c>
      <c r="I59" t="s">
        <v>991</v>
      </c>
      <c r="J59" t="s">
        <v>917</v>
      </c>
      <c r="K59" t="s">
        <v>74</v>
      </c>
      <c r="L59" t="s">
        <v>74</v>
      </c>
      <c r="M59" t="s">
        <v>79</v>
      </c>
      <c r="N59" t="s">
        <v>126</v>
      </c>
      <c r="O59" t="s">
        <v>74</v>
      </c>
      <c r="P59" t="s">
        <v>74</v>
      </c>
      <c r="Q59" t="s">
        <v>74</v>
      </c>
      <c r="R59" t="s">
        <v>74</v>
      </c>
      <c r="S59" t="s">
        <v>74</v>
      </c>
      <c r="T59" t="s">
        <v>992</v>
      </c>
      <c r="U59" t="s">
        <v>993</v>
      </c>
      <c r="V59" t="s">
        <v>994</v>
      </c>
      <c r="W59" t="s">
        <v>982</v>
      </c>
      <c r="X59" t="s">
        <v>463</v>
      </c>
      <c r="Y59" t="s">
        <v>995</v>
      </c>
      <c r="Z59" t="s">
        <v>996</v>
      </c>
      <c r="AA59" t="s">
        <v>74</v>
      </c>
      <c r="AB59" t="s">
        <v>74</v>
      </c>
      <c r="AC59" t="s">
        <v>74</v>
      </c>
      <c r="AD59" t="s">
        <v>74</v>
      </c>
      <c r="AE59" t="s">
        <v>74</v>
      </c>
      <c r="AF59" t="s">
        <v>74</v>
      </c>
      <c r="AG59">
        <v>79</v>
      </c>
      <c r="AH59">
        <v>170</v>
      </c>
      <c r="AI59">
        <v>191</v>
      </c>
      <c r="AJ59">
        <v>0</v>
      </c>
      <c r="AK59">
        <v>43</v>
      </c>
      <c r="AL59" t="s">
        <v>919</v>
      </c>
      <c r="AM59" t="s">
        <v>613</v>
      </c>
      <c r="AN59" t="s">
        <v>937</v>
      </c>
      <c r="AO59" t="s">
        <v>921</v>
      </c>
      <c r="AP59" t="s">
        <v>938</v>
      </c>
      <c r="AQ59" t="s">
        <v>74</v>
      </c>
      <c r="AR59" t="s">
        <v>922</v>
      </c>
      <c r="AS59" t="s">
        <v>923</v>
      </c>
      <c r="AT59" t="s">
        <v>890</v>
      </c>
      <c r="AU59">
        <v>2004</v>
      </c>
      <c r="AV59">
        <v>16</v>
      </c>
      <c r="AW59">
        <v>4</v>
      </c>
      <c r="AX59" t="s">
        <v>74</v>
      </c>
      <c r="AY59" t="s">
        <v>74</v>
      </c>
      <c r="AZ59" t="s">
        <v>74</v>
      </c>
      <c r="BA59" t="s">
        <v>74</v>
      </c>
      <c r="BB59">
        <v>427</v>
      </c>
      <c r="BC59">
        <v>437</v>
      </c>
      <c r="BD59" t="s">
        <v>74</v>
      </c>
      <c r="BE59" t="s">
        <v>997</v>
      </c>
      <c r="BF59" t="str">
        <f>HYPERLINK("http://dx.doi.org/10.1017/S095410200400224X","http://dx.doi.org/10.1017/S095410200400224X")</f>
        <v>http://dx.doi.org/10.1017/S095410200400224X</v>
      </c>
      <c r="BG59" t="s">
        <v>74</v>
      </c>
      <c r="BH59" t="s">
        <v>74</v>
      </c>
      <c r="BI59">
        <v>11</v>
      </c>
      <c r="BJ59" t="s">
        <v>925</v>
      </c>
      <c r="BK59" t="s">
        <v>139</v>
      </c>
      <c r="BL59" t="s">
        <v>926</v>
      </c>
      <c r="BM59" t="s">
        <v>927</v>
      </c>
      <c r="BN59" t="s">
        <v>74</v>
      </c>
      <c r="BO59" t="s">
        <v>74</v>
      </c>
      <c r="BP59" t="s">
        <v>74</v>
      </c>
      <c r="BQ59" t="s">
        <v>74</v>
      </c>
      <c r="BR59" t="s">
        <v>98</v>
      </c>
      <c r="BS59" t="s">
        <v>998</v>
      </c>
      <c r="BT59" t="str">
        <f>HYPERLINK("https%3A%2F%2Fwww.webofscience.com%2Fwos%2Fwoscc%2Ffull-record%2FWOS:000226060800007","View Full Record in Web of Science")</f>
        <v>View Full Record in Web of Science</v>
      </c>
    </row>
    <row r="60" spans="1:72" x14ac:dyDescent="0.15">
      <c r="A60" t="s">
        <v>122</v>
      </c>
      <c r="B60" t="s">
        <v>999</v>
      </c>
      <c r="C60" t="s">
        <v>74</v>
      </c>
      <c r="D60" t="s">
        <v>74</v>
      </c>
      <c r="E60" t="s">
        <v>74</v>
      </c>
      <c r="F60" t="s">
        <v>999</v>
      </c>
      <c r="G60" t="s">
        <v>74</v>
      </c>
      <c r="H60" t="s">
        <v>74</v>
      </c>
      <c r="I60" t="s">
        <v>1000</v>
      </c>
      <c r="J60" t="s">
        <v>917</v>
      </c>
      <c r="K60" t="s">
        <v>74</v>
      </c>
      <c r="L60" t="s">
        <v>74</v>
      </c>
      <c r="M60" t="s">
        <v>79</v>
      </c>
      <c r="N60" t="s">
        <v>126</v>
      </c>
      <c r="O60" t="s">
        <v>74</v>
      </c>
      <c r="P60" t="s">
        <v>74</v>
      </c>
      <c r="Q60" t="s">
        <v>74</v>
      </c>
      <c r="R60" t="s">
        <v>74</v>
      </c>
      <c r="S60" t="s">
        <v>74</v>
      </c>
      <c r="T60" t="s">
        <v>1001</v>
      </c>
      <c r="U60" t="s">
        <v>1002</v>
      </c>
      <c r="V60" t="s">
        <v>1003</v>
      </c>
      <c r="W60" t="s">
        <v>1004</v>
      </c>
      <c r="X60" t="s">
        <v>1005</v>
      </c>
      <c r="Y60" t="s">
        <v>1006</v>
      </c>
      <c r="Z60" t="s">
        <v>1007</v>
      </c>
      <c r="AA60" t="s">
        <v>1008</v>
      </c>
      <c r="AB60" t="s">
        <v>1009</v>
      </c>
      <c r="AC60" t="s">
        <v>74</v>
      </c>
      <c r="AD60" t="s">
        <v>74</v>
      </c>
      <c r="AE60" t="s">
        <v>74</v>
      </c>
      <c r="AF60" t="s">
        <v>74</v>
      </c>
      <c r="AG60">
        <v>99</v>
      </c>
      <c r="AH60">
        <v>164</v>
      </c>
      <c r="AI60">
        <v>181</v>
      </c>
      <c r="AJ60">
        <v>0</v>
      </c>
      <c r="AK60">
        <v>34</v>
      </c>
      <c r="AL60" t="s">
        <v>919</v>
      </c>
      <c r="AM60" t="s">
        <v>613</v>
      </c>
      <c r="AN60" t="s">
        <v>937</v>
      </c>
      <c r="AO60" t="s">
        <v>921</v>
      </c>
      <c r="AP60" t="s">
        <v>938</v>
      </c>
      <c r="AQ60" t="s">
        <v>74</v>
      </c>
      <c r="AR60" t="s">
        <v>922</v>
      </c>
      <c r="AS60" t="s">
        <v>923</v>
      </c>
      <c r="AT60" t="s">
        <v>890</v>
      </c>
      <c r="AU60">
        <v>2004</v>
      </c>
      <c r="AV60">
        <v>16</v>
      </c>
      <c r="AW60">
        <v>4</v>
      </c>
      <c r="AX60" t="s">
        <v>74</v>
      </c>
      <c r="AY60" t="s">
        <v>74</v>
      </c>
      <c r="AZ60" t="s">
        <v>74</v>
      </c>
      <c r="BA60" t="s">
        <v>74</v>
      </c>
      <c r="BB60">
        <v>439</v>
      </c>
      <c r="BC60">
        <v>470</v>
      </c>
      <c r="BD60" t="s">
        <v>74</v>
      </c>
      <c r="BE60" t="s">
        <v>1010</v>
      </c>
      <c r="BF60" t="str">
        <f>HYPERLINK("http://dx.doi.org/10.1017/S0954102004002251","http://dx.doi.org/10.1017/S0954102004002251")</f>
        <v>http://dx.doi.org/10.1017/S0954102004002251</v>
      </c>
      <c r="BG60" t="s">
        <v>74</v>
      </c>
      <c r="BH60" t="s">
        <v>74</v>
      </c>
      <c r="BI60">
        <v>32</v>
      </c>
      <c r="BJ60" t="s">
        <v>925</v>
      </c>
      <c r="BK60" t="s">
        <v>139</v>
      </c>
      <c r="BL60" t="s">
        <v>926</v>
      </c>
      <c r="BM60" t="s">
        <v>927</v>
      </c>
      <c r="BN60" t="s">
        <v>74</v>
      </c>
      <c r="BO60" t="s">
        <v>988</v>
      </c>
      <c r="BP60" t="s">
        <v>74</v>
      </c>
      <c r="BQ60" t="s">
        <v>74</v>
      </c>
      <c r="BR60" t="s">
        <v>98</v>
      </c>
      <c r="BS60" t="s">
        <v>1011</v>
      </c>
      <c r="BT60" t="str">
        <f>HYPERLINK("https%3A%2F%2Fwww.webofscience.com%2Fwos%2Fwoscc%2Ffull-record%2FWOS:000226060800008","View Full Record in Web of Science")</f>
        <v>View Full Record in Web of Science</v>
      </c>
    </row>
    <row r="61" spans="1:72" x14ac:dyDescent="0.15">
      <c r="A61" t="s">
        <v>122</v>
      </c>
      <c r="B61" t="s">
        <v>1012</v>
      </c>
      <c r="C61" t="s">
        <v>74</v>
      </c>
      <c r="D61" t="s">
        <v>74</v>
      </c>
      <c r="E61" t="s">
        <v>74</v>
      </c>
      <c r="F61" t="s">
        <v>1012</v>
      </c>
      <c r="G61" t="s">
        <v>74</v>
      </c>
      <c r="H61" t="s">
        <v>74</v>
      </c>
      <c r="I61" t="s">
        <v>1013</v>
      </c>
      <c r="J61" t="s">
        <v>917</v>
      </c>
      <c r="K61" t="s">
        <v>74</v>
      </c>
      <c r="L61" t="s">
        <v>74</v>
      </c>
      <c r="M61" t="s">
        <v>79</v>
      </c>
      <c r="N61" t="s">
        <v>581</v>
      </c>
      <c r="O61" t="s">
        <v>74</v>
      </c>
      <c r="P61" t="s">
        <v>74</v>
      </c>
      <c r="Q61" t="s">
        <v>74</v>
      </c>
      <c r="R61" t="s">
        <v>74</v>
      </c>
      <c r="S61" t="s">
        <v>74</v>
      </c>
      <c r="T61" t="s">
        <v>1014</v>
      </c>
      <c r="U61" t="s">
        <v>1015</v>
      </c>
      <c r="V61" t="s">
        <v>1016</v>
      </c>
      <c r="W61" t="s">
        <v>1017</v>
      </c>
      <c r="X61" t="s">
        <v>1018</v>
      </c>
      <c r="Y61" t="s">
        <v>1019</v>
      </c>
      <c r="Z61" t="s">
        <v>1020</v>
      </c>
      <c r="AA61" t="s">
        <v>1021</v>
      </c>
      <c r="AB61" t="s">
        <v>1022</v>
      </c>
      <c r="AC61" t="s">
        <v>74</v>
      </c>
      <c r="AD61" t="s">
        <v>74</v>
      </c>
      <c r="AE61" t="s">
        <v>74</v>
      </c>
      <c r="AF61" t="s">
        <v>74</v>
      </c>
      <c r="AG61">
        <v>154</v>
      </c>
      <c r="AH61">
        <v>204</v>
      </c>
      <c r="AI61">
        <v>238</v>
      </c>
      <c r="AJ61">
        <v>4</v>
      </c>
      <c r="AK61">
        <v>114</v>
      </c>
      <c r="AL61" t="s">
        <v>919</v>
      </c>
      <c r="AM61" t="s">
        <v>613</v>
      </c>
      <c r="AN61" t="s">
        <v>937</v>
      </c>
      <c r="AO61" t="s">
        <v>921</v>
      </c>
      <c r="AP61" t="s">
        <v>938</v>
      </c>
      <c r="AQ61" t="s">
        <v>74</v>
      </c>
      <c r="AR61" t="s">
        <v>922</v>
      </c>
      <c r="AS61" t="s">
        <v>923</v>
      </c>
      <c r="AT61" t="s">
        <v>890</v>
      </c>
      <c r="AU61">
        <v>2004</v>
      </c>
      <c r="AV61">
        <v>16</v>
      </c>
      <c r="AW61">
        <v>4</v>
      </c>
      <c r="AX61" t="s">
        <v>74</v>
      </c>
      <c r="AY61" t="s">
        <v>74</v>
      </c>
      <c r="AZ61" t="s">
        <v>74</v>
      </c>
      <c r="BA61" t="s">
        <v>74</v>
      </c>
      <c r="BB61">
        <v>471</v>
      </c>
      <c r="BC61">
        <v>486</v>
      </c>
      <c r="BD61" t="s">
        <v>74</v>
      </c>
      <c r="BE61" t="s">
        <v>1023</v>
      </c>
      <c r="BF61" t="str">
        <f>HYPERLINK("http://dx.doi.org/10.1017/S0954102004002263","http://dx.doi.org/10.1017/S0954102004002263")</f>
        <v>http://dx.doi.org/10.1017/S0954102004002263</v>
      </c>
      <c r="BG61" t="s">
        <v>74</v>
      </c>
      <c r="BH61" t="s">
        <v>74</v>
      </c>
      <c r="BI61">
        <v>16</v>
      </c>
      <c r="BJ61" t="s">
        <v>925</v>
      </c>
      <c r="BK61" t="s">
        <v>139</v>
      </c>
      <c r="BL61" t="s">
        <v>926</v>
      </c>
      <c r="BM61" t="s">
        <v>927</v>
      </c>
      <c r="BN61" t="s">
        <v>74</v>
      </c>
      <c r="BO61" t="s">
        <v>74</v>
      </c>
      <c r="BP61" t="s">
        <v>74</v>
      </c>
      <c r="BQ61" t="s">
        <v>74</v>
      </c>
      <c r="BR61" t="s">
        <v>98</v>
      </c>
      <c r="BS61" t="s">
        <v>1024</v>
      </c>
      <c r="BT61" t="str">
        <f>HYPERLINK("https%3A%2F%2Fwww.webofscience.com%2Fwos%2Fwoscc%2Ffull-record%2FWOS:000226060800009","View Full Record in Web of Science")</f>
        <v>View Full Record in Web of Science</v>
      </c>
    </row>
    <row r="62" spans="1:72" x14ac:dyDescent="0.15">
      <c r="A62" t="s">
        <v>122</v>
      </c>
      <c r="B62" t="s">
        <v>1025</v>
      </c>
      <c r="C62" t="s">
        <v>74</v>
      </c>
      <c r="D62" t="s">
        <v>74</v>
      </c>
      <c r="E62" t="s">
        <v>74</v>
      </c>
      <c r="F62" t="s">
        <v>1025</v>
      </c>
      <c r="G62" t="s">
        <v>74</v>
      </c>
      <c r="H62" t="s">
        <v>74</v>
      </c>
      <c r="I62" t="s">
        <v>1026</v>
      </c>
      <c r="J62" t="s">
        <v>917</v>
      </c>
      <c r="K62" t="s">
        <v>74</v>
      </c>
      <c r="L62" t="s">
        <v>74</v>
      </c>
      <c r="M62" t="s">
        <v>79</v>
      </c>
      <c r="N62" t="s">
        <v>581</v>
      </c>
      <c r="O62" t="s">
        <v>74</v>
      </c>
      <c r="P62" t="s">
        <v>74</v>
      </c>
      <c r="Q62" t="s">
        <v>74</v>
      </c>
      <c r="R62" t="s">
        <v>74</v>
      </c>
      <c r="S62" t="s">
        <v>74</v>
      </c>
      <c r="T62" t="s">
        <v>1027</v>
      </c>
      <c r="U62" t="s">
        <v>1028</v>
      </c>
      <c r="V62" t="s">
        <v>1029</v>
      </c>
      <c r="W62" t="s">
        <v>1030</v>
      </c>
      <c r="X62" t="s">
        <v>1031</v>
      </c>
      <c r="Y62" t="s">
        <v>1032</v>
      </c>
      <c r="Z62" t="s">
        <v>1033</v>
      </c>
      <c r="AA62" t="s">
        <v>1034</v>
      </c>
      <c r="AB62" t="s">
        <v>74</v>
      </c>
      <c r="AC62" t="s">
        <v>74</v>
      </c>
      <c r="AD62" t="s">
        <v>74</v>
      </c>
      <c r="AE62" t="s">
        <v>74</v>
      </c>
      <c r="AF62" t="s">
        <v>74</v>
      </c>
      <c r="AG62">
        <v>105</v>
      </c>
      <c r="AH62">
        <v>91</v>
      </c>
      <c r="AI62">
        <v>115</v>
      </c>
      <c r="AJ62">
        <v>1</v>
      </c>
      <c r="AK62">
        <v>38</v>
      </c>
      <c r="AL62" t="s">
        <v>919</v>
      </c>
      <c r="AM62" t="s">
        <v>613</v>
      </c>
      <c r="AN62" t="s">
        <v>937</v>
      </c>
      <c r="AO62" t="s">
        <v>921</v>
      </c>
      <c r="AP62" t="s">
        <v>938</v>
      </c>
      <c r="AQ62" t="s">
        <v>74</v>
      </c>
      <c r="AR62" t="s">
        <v>922</v>
      </c>
      <c r="AS62" t="s">
        <v>923</v>
      </c>
      <c r="AT62" t="s">
        <v>890</v>
      </c>
      <c r="AU62">
        <v>2004</v>
      </c>
      <c r="AV62">
        <v>16</v>
      </c>
      <c r="AW62">
        <v>4</v>
      </c>
      <c r="AX62" t="s">
        <v>74</v>
      </c>
      <c r="AY62" t="s">
        <v>74</v>
      </c>
      <c r="AZ62" t="s">
        <v>74</v>
      </c>
      <c r="BA62" t="s">
        <v>74</v>
      </c>
      <c r="BB62">
        <v>487</v>
      </c>
      <c r="BC62">
        <v>499</v>
      </c>
      <c r="BD62" t="s">
        <v>74</v>
      </c>
      <c r="BE62" t="s">
        <v>1035</v>
      </c>
      <c r="BF62" t="str">
        <f>HYPERLINK("http://dx.doi.org/10.1017/S0954102004002275","http://dx.doi.org/10.1017/S0954102004002275")</f>
        <v>http://dx.doi.org/10.1017/S0954102004002275</v>
      </c>
      <c r="BG62" t="s">
        <v>74</v>
      </c>
      <c r="BH62" t="s">
        <v>74</v>
      </c>
      <c r="BI62">
        <v>13</v>
      </c>
      <c r="BJ62" t="s">
        <v>925</v>
      </c>
      <c r="BK62" t="s">
        <v>139</v>
      </c>
      <c r="BL62" t="s">
        <v>926</v>
      </c>
      <c r="BM62" t="s">
        <v>927</v>
      </c>
      <c r="BN62" t="s">
        <v>74</v>
      </c>
      <c r="BO62" t="s">
        <v>988</v>
      </c>
      <c r="BP62" t="s">
        <v>74</v>
      </c>
      <c r="BQ62" t="s">
        <v>74</v>
      </c>
      <c r="BR62" t="s">
        <v>98</v>
      </c>
      <c r="BS62" t="s">
        <v>1036</v>
      </c>
      <c r="BT62" t="str">
        <f>HYPERLINK("https%3A%2F%2Fwww.webofscience.com%2Fwos%2Fwoscc%2Ffull-record%2FWOS:000226060800010","View Full Record in Web of Science")</f>
        <v>View Full Record in Web of Science</v>
      </c>
    </row>
    <row r="63" spans="1:72" x14ac:dyDescent="0.15">
      <c r="A63" t="s">
        <v>122</v>
      </c>
      <c r="B63" t="s">
        <v>1037</v>
      </c>
      <c r="C63" t="s">
        <v>74</v>
      </c>
      <c r="D63" t="s">
        <v>74</v>
      </c>
      <c r="E63" t="s">
        <v>74</v>
      </c>
      <c r="F63" t="s">
        <v>1037</v>
      </c>
      <c r="G63" t="s">
        <v>74</v>
      </c>
      <c r="H63" t="s">
        <v>74</v>
      </c>
      <c r="I63" t="s">
        <v>1038</v>
      </c>
      <c r="J63" t="s">
        <v>917</v>
      </c>
      <c r="K63" t="s">
        <v>74</v>
      </c>
      <c r="L63" t="s">
        <v>74</v>
      </c>
      <c r="M63" t="s">
        <v>79</v>
      </c>
      <c r="N63" t="s">
        <v>126</v>
      </c>
      <c r="O63" t="s">
        <v>74</v>
      </c>
      <c r="P63" t="s">
        <v>74</v>
      </c>
      <c r="Q63" t="s">
        <v>74</v>
      </c>
      <c r="R63" t="s">
        <v>74</v>
      </c>
      <c r="S63" t="s">
        <v>74</v>
      </c>
      <c r="T63" t="s">
        <v>1039</v>
      </c>
      <c r="U63" t="s">
        <v>1040</v>
      </c>
      <c r="V63" t="s">
        <v>1041</v>
      </c>
      <c r="W63" t="s">
        <v>1042</v>
      </c>
      <c r="X63" t="s">
        <v>1043</v>
      </c>
      <c r="Y63" t="s">
        <v>1044</v>
      </c>
      <c r="Z63" t="s">
        <v>1045</v>
      </c>
      <c r="AA63" t="s">
        <v>74</v>
      </c>
      <c r="AB63" t="s">
        <v>74</v>
      </c>
      <c r="AC63" t="s">
        <v>74</v>
      </c>
      <c r="AD63" t="s">
        <v>74</v>
      </c>
      <c r="AE63" t="s">
        <v>74</v>
      </c>
      <c r="AF63" t="s">
        <v>74</v>
      </c>
      <c r="AG63">
        <v>70</v>
      </c>
      <c r="AH63">
        <v>53</v>
      </c>
      <c r="AI63">
        <v>60</v>
      </c>
      <c r="AJ63">
        <v>1</v>
      </c>
      <c r="AK63">
        <v>22</v>
      </c>
      <c r="AL63" t="s">
        <v>919</v>
      </c>
      <c r="AM63" t="s">
        <v>613</v>
      </c>
      <c r="AN63" t="s">
        <v>937</v>
      </c>
      <c r="AO63" t="s">
        <v>921</v>
      </c>
      <c r="AP63" t="s">
        <v>938</v>
      </c>
      <c r="AQ63" t="s">
        <v>74</v>
      </c>
      <c r="AR63" t="s">
        <v>922</v>
      </c>
      <c r="AS63" t="s">
        <v>923</v>
      </c>
      <c r="AT63" t="s">
        <v>890</v>
      </c>
      <c r="AU63">
        <v>2004</v>
      </c>
      <c r="AV63">
        <v>16</v>
      </c>
      <c r="AW63">
        <v>4</v>
      </c>
      <c r="AX63" t="s">
        <v>74</v>
      </c>
      <c r="AY63" t="s">
        <v>74</v>
      </c>
      <c r="AZ63" t="s">
        <v>74</v>
      </c>
      <c r="BA63" t="s">
        <v>74</v>
      </c>
      <c r="BB63">
        <v>501</v>
      </c>
      <c r="BC63">
        <v>516</v>
      </c>
      <c r="BD63" t="s">
        <v>74</v>
      </c>
      <c r="BE63" t="s">
        <v>1046</v>
      </c>
      <c r="BF63" t="str">
        <f>HYPERLINK("http://dx.doi.org/10.1017/S0954102004002287","http://dx.doi.org/10.1017/S0954102004002287")</f>
        <v>http://dx.doi.org/10.1017/S0954102004002287</v>
      </c>
      <c r="BG63" t="s">
        <v>74</v>
      </c>
      <c r="BH63" t="s">
        <v>74</v>
      </c>
      <c r="BI63">
        <v>16</v>
      </c>
      <c r="BJ63" t="s">
        <v>925</v>
      </c>
      <c r="BK63" t="s">
        <v>139</v>
      </c>
      <c r="BL63" t="s">
        <v>926</v>
      </c>
      <c r="BM63" t="s">
        <v>927</v>
      </c>
      <c r="BN63" t="s">
        <v>74</v>
      </c>
      <c r="BO63" t="s">
        <v>74</v>
      </c>
      <c r="BP63" t="s">
        <v>74</v>
      </c>
      <c r="BQ63" t="s">
        <v>74</v>
      </c>
      <c r="BR63" t="s">
        <v>98</v>
      </c>
      <c r="BS63" t="s">
        <v>1047</v>
      </c>
      <c r="BT63" t="str">
        <f>HYPERLINK("https%3A%2F%2Fwww.webofscience.com%2Fwos%2Fwoscc%2Ffull-record%2FWOS:000226060800011","View Full Record in Web of Science")</f>
        <v>View Full Record in Web of Science</v>
      </c>
    </row>
    <row r="64" spans="1:72" x14ac:dyDescent="0.15">
      <c r="A64" t="s">
        <v>122</v>
      </c>
      <c r="B64" t="s">
        <v>1048</v>
      </c>
      <c r="C64" t="s">
        <v>74</v>
      </c>
      <c r="D64" t="s">
        <v>74</v>
      </c>
      <c r="E64" t="s">
        <v>74</v>
      </c>
      <c r="F64" t="s">
        <v>1048</v>
      </c>
      <c r="G64" t="s">
        <v>74</v>
      </c>
      <c r="H64" t="s">
        <v>74</v>
      </c>
      <c r="I64" t="s">
        <v>1049</v>
      </c>
      <c r="J64" t="s">
        <v>917</v>
      </c>
      <c r="K64" t="s">
        <v>74</v>
      </c>
      <c r="L64" t="s">
        <v>74</v>
      </c>
      <c r="M64" t="s">
        <v>79</v>
      </c>
      <c r="N64" t="s">
        <v>126</v>
      </c>
      <c r="O64" t="s">
        <v>74</v>
      </c>
      <c r="P64" t="s">
        <v>74</v>
      </c>
      <c r="Q64" t="s">
        <v>74</v>
      </c>
      <c r="R64" t="s">
        <v>74</v>
      </c>
      <c r="S64" t="s">
        <v>74</v>
      </c>
      <c r="T64" t="s">
        <v>1050</v>
      </c>
      <c r="U64" t="s">
        <v>1051</v>
      </c>
      <c r="V64" t="s">
        <v>1052</v>
      </c>
      <c r="W64" t="s">
        <v>1053</v>
      </c>
      <c r="X64" t="s">
        <v>1054</v>
      </c>
      <c r="Y64" t="s">
        <v>1055</v>
      </c>
      <c r="Z64" t="s">
        <v>1056</v>
      </c>
      <c r="AA64" t="s">
        <v>1057</v>
      </c>
      <c r="AB64" t="s">
        <v>1058</v>
      </c>
      <c r="AC64" t="s">
        <v>1059</v>
      </c>
      <c r="AD64" t="s">
        <v>635</v>
      </c>
      <c r="AE64" t="s">
        <v>74</v>
      </c>
      <c r="AF64" t="s">
        <v>74</v>
      </c>
      <c r="AG64">
        <v>52</v>
      </c>
      <c r="AH64">
        <v>17</v>
      </c>
      <c r="AI64">
        <v>24</v>
      </c>
      <c r="AJ64">
        <v>0</v>
      </c>
      <c r="AK64">
        <v>14</v>
      </c>
      <c r="AL64" t="s">
        <v>919</v>
      </c>
      <c r="AM64" t="s">
        <v>613</v>
      </c>
      <c r="AN64" t="s">
        <v>937</v>
      </c>
      <c r="AO64" t="s">
        <v>921</v>
      </c>
      <c r="AP64" t="s">
        <v>938</v>
      </c>
      <c r="AQ64" t="s">
        <v>74</v>
      </c>
      <c r="AR64" t="s">
        <v>922</v>
      </c>
      <c r="AS64" t="s">
        <v>923</v>
      </c>
      <c r="AT64" t="s">
        <v>890</v>
      </c>
      <c r="AU64">
        <v>2004</v>
      </c>
      <c r="AV64">
        <v>16</v>
      </c>
      <c r="AW64">
        <v>4</v>
      </c>
      <c r="AX64" t="s">
        <v>74</v>
      </c>
      <c r="AY64" t="s">
        <v>74</v>
      </c>
      <c r="AZ64" t="s">
        <v>74</v>
      </c>
      <c r="BA64" t="s">
        <v>74</v>
      </c>
      <c r="BB64">
        <v>517</v>
      </c>
      <c r="BC64">
        <v>529</v>
      </c>
      <c r="BD64" t="s">
        <v>74</v>
      </c>
      <c r="BE64" t="s">
        <v>1060</v>
      </c>
      <c r="BF64" t="str">
        <f>HYPERLINK("http://dx.doi.org/10.1017/S0954102004002299","http://dx.doi.org/10.1017/S0954102004002299")</f>
        <v>http://dx.doi.org/10.1017/S0954102004002299</v>
      </c>
      <c r="BG64" t="s">
        <v>74</v>
      </c>
      <c r="BH64" t="s">
        <v>74</v>
      </c>
      <c r="BI64">
        <v>13</v>
      </c>
      <c r="BJ64" t="s">
        <v>925</v>
      </c>
      <c r="BK64" t="s">
        <v>139</v>
      </c>
      <c r="BL64" t="s">
        <v>926</v>
      </c>
      <c r="BM64" t="s">
        <v>927</v>
      </c>
      <c r="BN64" t="s">
        <v>74</v>
      </c>
      <c r="BO64" t="s">
        <v>74</v>
      </c>
      <c r="BP64" t="s">
        <v>74</v>
      </c>
      <c r="BQ64" t="s">
        <v>74</v>
      </c>
      <c r="BR64" t="s">
        <v>98</v>
      </c>
      <c r="BS64" t="s">
        <v>1061</v>
      </c>
      <c r="BT64" t="str">
        <f>HYPERLINK("https%3A%2F%2Fwww.webofscience.com%2Fwos%2Fwoscc%2Ffull-record%2FWOS:000226060800012","View Full Record in Web of Science")</f>
        <v>View Full Record in Web of Science</v>
      </c>
    </row>
    <row r="65" spans="1:72" x14ac:dyDescent="0.15">
      <c r="A65" t="s">
        <v>122</v>
      </c>
      <c r="B65" t="s">
        <v>1062</v>
      </c>
      <c r="C65" t="s">
        <v>74</v>
      </c>
      <c r="D65" t="s">
        <v>74</v>
      </c>
      <c r="E65" t="s">
        <v>74</v>
      </c>
      <c r="F65" t="s">
        <v>1062</v>
      </c>
      <c r="G65" t="s">
        <v>74</v>
      </c>
      <c r="H65" t="s">
        <v>74</v>
      </c>
      <c r="I65" t="s">
        <v>1063</v>
      </c>
      <c r="J65" t="s">
        <v>917</v>
      </c>
      <c r="K65" t="s">
        <v>74</v>
      </c>
      <c r="L65" t="s">
        <v>74</v>
      </c>
      <c r="M65" t="s">
        <v>79</v>
      </c>
      <c r="N65" t="s">
        <v>126</v>
      </c>
      <c r="O65" t="s">
        <v>74</v>
      </c>
      <c r="P65" t="s">
        <v>74</v>
      </c>
      <c r="Q65" t="s">
        <v>74</v>
      </c>
      <c r="R65" t="s">
        <v>74</v>
      </c>
      <c r="S65" t="s">
        <v>74</v>
      </c>
      <c r="T65" t="s">
        <v>1064</v>
      </c>
      <c r="U65" t="s">
        <v>1065</v>
      </c>
      <c r="V65" t="s">
        <v>1066</v>
      </c>
      <c r="W65" t="s">
        <v>1067</v>
      </c>
      <c r="X65" t="s">
        <v>1068</v>
      </c>
      <c r="Y65" t="s">
        <v>1069</v>
      </c>
      <c r="Z65" t="s">
        <v>1070</v>
      </c>
      <c r="AA65" t="s">
        <v>74</v>
      </c>
      <c r="AB65" t="s">
        <v>74</v>
      </c>
      <c r="AC65" t="s">
        <v>74</v>
      </c>
      <c r="AD65" t="s">
        <v>74</v>
      </c>
      <c r="AE65" t="s">
        <v>74</v>
      </c>
      <c r="AF65" t="s">
        <v>74</v>
      </c>
      <c r="AG65">
        <v>36</v>
      </c>
      <c r="AH65">
        <v>39</v>
      </c>
      <c r="AI65">
        <v>43</v>
      </c>
      <c r="AJ65">
        <v>2</v>
      </c>
      <c r="AK65">
        <v>35</v>
      </c>
      <c r="AL65" t="s">
        <v>919</v>
      </c>
      <c r="AM65" t="s">
        <v>613</v>
      </c>
      <c r="AN65" t="s">
        <v>937</v>
      </c>
      <c r="AO65" t="s">
        <v>921</v>
      </c>
      <c r="AP65" t="s">
        <v>74</v>
      </c>
      <c r="AQ65" t="s">
        <v>74</v>
      </c>
      <c r="AR65" t="s">
        <v>922</v>
      </c>
      <c r="AS65" t="s">
        <v>923</v>
      </c>
      <c r="AT65" t="s">
        <v>890</v>
      </c>
      <c r="AU65">
        <v>2004</v>
      </c>
      <c r="AV65">
        <v>16</v>
      </c>
      <c r="AW65">
        <v>4</v>
      </c>
      <c r="AX65" t="s">
        <v>74</v>
      </c>
      <c r="AY65" t="s">
        <v>74</v>
      </c>
      <c r="AZ65" t="s">
        <v>74</v>
      </c>
      <c r="BA65" t="s">
        <v>74</v>
      </c>
      <c r="BB65">
        <v>531</v>
      </c>
      <c r="BC65">
        <v>539</v>
      </c>
      <c r="BD65" t="s">
        <v>74</v>
      </c>
      <c r="BE65" t="s">
        <v>1071</v>
      </c>
      <c r="BF65" t="str">
        <f>HYPERLINK("http://dx.doi.org/10.1017/S0954102004002305","http://dx.doi.org/10.1017/S0954102004002305")</f>
        <v>http://dx.doi.org/10.1017/S0954102004002305</v>
      </c>
      <c r="BG65" t="s">
        <v>74</v>
      </c>
      <c r="BH65" t="s">
        <v>74</v>
      </c>
      <c r="BI65">
        <v>9</v>
      </c>
      <c r="BJ65" t="s">
        <v>925</v>
      </c>
      <c r="BK65" t="s">
        <v>139</v>
      </c>
      <c r="BL65" t="s">
        <v>926</v>
      </c>
      <c r="BM65" t="s">
        <v>927</v>
      </c>
      <c r="BN65" t="s">
        <v>74</v>
      </c>
      <c r="BO65" t="s">
        <v>74</v>
      </c>
      <c r="BP65" t="s">
        <v>74</v>
      </c>
      <c r="BQ65" t="s">
        <v>74</v>
      </c>
      <c r="BR65" t="s">
        <v>98</v>
      </c>
      <c r="BS65" t="s">
        <v>1072</v>
      </c>
      <c r="BT65" t="str">
        <f>HYPERLINK("https%3A%2F%2Fwww.webofscience.com%2Fwos%2Fwoscc%2Ffull-record%2FWOS:000226060800013","View Full Record in Web of Science")</f>
        <v>View Full Record in Web of Science</v>
      </c>
    </row>
    <row r="66" spans="1:72" x14ac:dyDescent="0.15">
      <c r="A66" t="s">
        <v>122</v>
      </c>
      <c r="B66" t="s">
        <v>1073</v>
      </c>
      <c r="C66" t="s">
        <v>74</v>
      </c>
      <c r="D66" t="s">
        <v>74</v>
      </c>
      <c r="E66" t="s">
        <v>74</v>
      </c>
      <c r="F66" t="s">
        <v>1073</v>
      </c>
      <c r="G66" t="s">
        <v>74</v>
      </c>
      <c r="H66" t="s">
        <v>74</v>
      </c>
      <c r="I66" t="s">
        <v>1074</v>
      </c>
      <c r="J66" t="s">
        <v>917</v>
      </c>
      <c r="K66" t="s">
        <v>74</v>
      </c>
      <c r="L66" t="s">
        <v>74</v>
      </c>
      <c r="M66" t="s">
        <v>79</v>
      </c>
      <c r="N66" t="s">
        <v>581</v>
      </c>
      <c r="O66" t="s">
        <v>74</v>
      </c>
      <c r="P66" t="s">
        <v>74</v>
      </c>
      <c r="Q66" t="s">
        <v>74</v>
      </c>
      <c r="R66" t="s">
        <v>74</v>
      </c>
      <c r="S66" t="s">
        <v>74</v>
      </c>
      <c r="T66" t="s">
        <v>1075</v>
      </c>
      <c r="U66" t="s">
        <v>1076</v>
      </c>
      <c r="V66" t="s">
        <v>1077</v>
      </c>
      <c r="W66" t="s">
        <v>1078</v>
      </c>
      <c r="X66" t="s">
        <v>548</v>
      </c>
      <c r="Y66" t="s">
        <v>1079</v>
      </c>
      <c r="Z66" t="s">
        <v>1080</v>
      </c>
      <c r="AA66" t="s">
        <v>74</v>
      </c>
      <c r="AB66" t="s">
        <v>1081</v>
      </c>
      <c r="AC66" t="s">
        <v>74</v>
      </c>
      <c r="AD66" t="s">
        <v>74</v>
      </c>
      <c r="AE66" t="s">
        <v>74</v>
      </c>
      <c r="AF66" t="s">
        <v>74</v>
      </c>
      <c r="AG66">
        <v>157</v>
      </c>
      <c r="AH66">
        <v>244</v>
      </c>
      <c r="AI66">
        <v>264</v>
      </c>
      <c r="AJ66">
        <v>6</v>
      </c>
      <c r="AK66">
        <v>98</v>
      </c>
      <c r="AL66" t="s">
        <v>919</v>
      </c>
      <c r="AM66" t="s">
        <v>613</v>
      </c>
      <c r="AN66" t="s">
        <v>937</v>
      </c>
      <c r="AO66" t="s">
        <v>921</v>
      </c>
      <c r="AP66" t="s">
        <v>938</v>
      </c>
      <c r="AQ66" t="s">
        <v>74</v>
      </c>
      <c r="AR66" t="s">
        <v>922</v>
      </c>
      <c r="AS66" t="s">
        <v>923</v>
      </c>
      <c r="AT66" t="s">
        <v>890</v>
      </c>
      <c r="AU66">
        <v>2004</v>
      </c>
      <c r="AV66">
        <v>16</v>
      </c>
      <c r="AW66">
        <v>4</v>
      </c>
      <c r="AX66" t="s">
        <v>74</v>
      </c>
      <c r="AY66" t="s">
        <v>74</v>
      </c>
      <c r="AZ66" t="s">
        <v>74</v>
      </c>
      <c r="BA66" t="s">
        <v>74</v>
      </c>
      <c r="BB66">
        <v>541</v>
      </c>
      <c r="BC66">
        <v>558</v>
      </c>
      <c r="BD66" t="s">
        <v>74</v>
      </c>
      <c r="BE66" t="s">
        <v>1082</v>
      </c>
      <c r="BF66" t="str">
        <f>HYPERLINK("http://dx.doi.org/10.1017/S0954102004002317","http://dx.doi.org/10.1017/S0954102004002317")</f>
        <v>http://dx.doi.org/10.1017/S0954102004002317</v>
      </c>
      <c r="BG66" t="s">
        <v>74</v>
      </c>
      <c r="BH66" t="s">
        <v>74</v>
      </c>
      <c r="BI66">
        <v>18</v>
      </c>
      <c r="BJ66" t="s">
        <v>925</v>
      </c>
      <c r="BK66" t="s">
        <v>139</v>
      </c>
      <c r="BL66" t="s">
        <v>926</v>
      </c>
      <c r="BM66" t="s">
        <v>927</v>
      </c>
      <c r="BN66" t="s">
        <v>74</v>
      </c>
      <c r="BO66" t="s">
        <v>74</v>
      </c>
      <c r="BP66" t="s">
        <v>74</v>
      </c>
      <c r="BQ66" t="s">
        <v>74</v>
      </c>
      <c r="BR66" t="s">
        <v>98</v>
      </c>
      <c r="BS66" t="s">
        <v>1083</v>
      </c>
      <c r="BT66" t="str">
        <f>HYPERLINK("https%3A%2F%2Fwww.webofscience.com%2Fwos%2Fwoscc%2Ffull-record%2FWOS:000226060800014","View Full Record in Web of Science")</f>
        <v>View Full Record in Web of Science</v>
      </c>
    </row>
    <row r="67" spans="1:72" x14ac:dyDescent="0.15">
      <c r="A67" t="s">
        <v>122</v>
      </c>
      <c r="B67" t="s">
        <v>1084</v>
      </c>
      <c r="C67" t="s">
        <v>74</v>
      </c>
      <c r="D67" t="s">
        <v>74</v>
      </c>
      <c r="E67" t="s">
        <v>74</v>
      </c>
      <c r="F67" t="s">
        <v>1084</v>
      </c>
      <c r="G67" t="s">
        <v>74</v>
      </c>
      <c r="H67" t="s">
        <v>74</v>
      </c>
      <c r="I67" t="s">
        <v>1085</v>
      </c>
      <c r="J67" t="s">
        <v>917</v>
      </c>
      <c r="K67" t="s">
        <v>74</v>
      </c>
      <c r="L67" t="s">
        <v>74</v>
      </c>
      <c r="M67" t="s">
        <v>79</v>
      </c>
      <c r="N67" t="s">
        <v>126</v>
      </c>
      <c r="O67" t="s">
        <v>74</v>
      </c>
      <c r="P67" t="s">
        <v>74</v>
      </c>
      <c r="Q67" t="s">
        <v>74</v>
      </c>
      <c r="R67" t="s">
        <v>74</v>
      </c>
      <c r="S67" t="s">
        <v>74</v>
      </c>
      <c r="T67" t="s">
        <v>1086</v>
      </c>
      <c r="U67" t="s">
        <v>1087</v>
      </c>
      <c r="V67" t="s">
        <v>1088</v>
      </c>
      <c r="W67" t="s">
        <v>1089</v>
      </c>
      <c r="X67" t="s">
        <v>1090</v>
      </c>
      <c r="Y67" t="s">
        <v>502</v>
      </c>
      <c r="Z67" t="s">
        <v>1091</v>
      </c>
      <c r="AA67" t="s">
        <v>74</v>
      </c>
      <c r="AB67" t="s">
        <v>1092</v>
      </c>
      <c r="AC67" t="s">
        <v>74</v>
      </c>
      <c r="AD67" t="s">
        <v>74</v>
      </c>
      <c r="AE67" t="s">
        <v>74</v>
      </c>
      <c r="AF67" t="s">
        <v>74</v>
      </c>
      <c r="AG67">
        <v>99</v>
      </c>
      <c r="AH67">
        <v>113</v>
      </c>
      <c r="AI67">
        <v>121</v>
      </c>
      <c r="AJ67">
        <v>1</v>
      </c>
      <c r="AK67">
        <v>24</v>
      </c>
      <c r="AL67" t="s">
        <v>919</v>
      </c>
      <c r="AM67" t="s">
        <v>613</v>
      </c>
      <c r="AN67" t="s">
        <v>937</v>
      </c>
      <c r="AO67" t="s">
        <v>921</v>
      </c>
      <c r="AP67" t="s">
        <v>938</v>
      </c>
      <c r="AQ67" t="s">
        <v>74</v>
      </c>
      <c r="AR67" t="s">
        <v>922</v>
      </c>
      <c r="AS67" t="s">
        <v>923</v>
      </c>
      <c r="AT67" t="s">
        <v>890</v>
      </c>
      <c r="AU67">
        <v>2004</v>
      </c>
      <c r="AV67">
        <v>16</v>
      </c>
      <c r="AW67">
        <v>4</v>
      </c>
      <c r="AX67" t="s">
        <v>74</v>
      </c>
      <c r="AY67" t="s">
        <v>74</v>
      </c>
      <c r="AZ67" t="s">
        <v>74</v>
      </c>
      <c r="BA67" t="s">
        <v>74</v>
      </c>
      <c r="BB67">
        <v>559</v>
      </c>
      <c r="BC67">
        <v>568</v>
      </c>
      <c r="BD67" t="s">
        <v>74</v>
      </c>
      <c r="BE67" t="s">
        <v>1093</v>
      </c>
      <c r="BF67" t="str">
        <f>HYPERLINK("http://dx.doi.org/10.1017/S0954102004002329","http://dx.doi.org/10.1017/S0954102004002329")</f>
        <v>http://dx.doi.org/10.1017/S0954102004002329</v>
      </c>
      <c r="BG67" t="s">
        <v>74</v>
      </c>
      <c r="BH67" t="s">
        <v>74</v>
      </c>
      <c r="BI67">
        <v>10</v>
      </c>
      <c r="BJ67" t="s">
        <v>925</v>
      </c>
      <c r="BK67" t="s">
        <v>139</v>
      </c>
      <c r="BL67" t="s">
        <v>926</v>
      </c>
      <c r="BM67" t="s">
        <v>927</v>
      </c>
      <c r="BN67" t="s">
        <v>74</v>
      </c>
      <c r="BO67" t="s">
        <v>74</v>
      </c>
      <c r="BP67" t="s">
        <v>74</v>
      </c>
      <c r="BQ67" t="s">
        <v>74</v>
      </c>
      <c r="BR67" t="s">
        <v>98</v>
      </c>
      <c r="BS67" t="s">
        <v>1094</v>
      </c>
      <c r="BT67" t="str">
        <f>HYPERLINK("https%3A%2F%2Fwww.webofscience.com%2Fwos%2Fwoscc%2Ffull-record%2FWOS:000226060800015","View Full Record in Web of Science")</f>
        <v>View Full Record in Web of Science</v>
      </c>
    </row>
    <row r="68" spans="1:72" x14ac:dyDescent="0.15">
      <c r="A68" t="s">
        <v>122</v>
      </c>
      <c r="B68" t="s">
        <v>1095</v>
      </c>
      <c r="C68" t="s">
        <v>74</v>
      </c>
      <c r="D68" t="s">
        <v>74</v>
      </c>
      <c r="E68" t="s">
        <v>74</v>
      </c>
      <c r="F68" t="s">
        <v>1095</v>
      </c>
      <c r="G68" t="s">
        <v>74</v>
      </c>
      <c r="H68" t="s">
        <v>74</v>
      </c>
      <c r="I68" t="s">
        <v>1096</v>
      </c>
      <c r="J68" t="s">
        <v>917</v>
      </c>
      <c r="K68" t="s">
        <v>74</v>
      </c>
      <c r="L68" t="s">
        <v>74</v>
      </c>
      <c r="M68" t="s">
        <v>79</v>
      </c>
      <c r="N68" t="s">
        <v>126</v>
      </c>
      <c r="O68" t="s">
        <v>74</v>
      </c>
      <c r="P68" t="s">
        <v>74</v>
      </c>
      <c r="Q68" t="s">
        <v>74</v>
      </c>
      <c r="R68" t="s">
        <v>74</v>
      </c>
      <c r="S68" t="s">
        <v>74</v>
      </c>
      <c r="T68" t="s">
        <v>1097</v>
      </c>
      <c r="U68" t="s">
        <v>1098</v>
      </c>
      <c r="V68" t="s">
        <v>1099</v>
      </c>
      <c r="W68" t="s">
        <v>1100</v>
      </c>
      <c r="X68" t="s">
        <v>1101</v>
      </c>
      <c r="Y68" t="s">
        <v>502</v>
      </c>
      <c r="Z68" t="s">
        <v>1102</v>
      </c>
      <c r="AA68" t="s">
        <v>74</v>
      </c>
      <c r="AB68" t="s">
        <v>74</v>
      </c>
      <c r="AC68" t="s">
        <v>74</v>
      </c>
      <c r="AD68" t="s">
        <v>74</v>
      </c>
      <c r="AE68" t="s">
        <v>74</v>
      </c>
      <c r="AF68" t="s">
        <v>74</v>
      </c>
      <c r="AG68">
        <v>73</v>
      </c>
      <c r="AH68">
        <v>118</v>
      </c>
      <c r="AI68">
        <v>127</v>
      </c>
      <c r="AJ68">
        <v>4</v>
      </c>
      <c r="AK68">
        <v>83</v>
      </c>
      <c r="AL68" t="s">
        <v>919</v>
      </c>
      <c r="AM68" t="s">
        <v>613</v>
      </c>
      <c r="AN68" t="s">
        <v>937</v>
      </c>
      <c r="AO68" t="s">
        <v>921</v>
      </c>
      <c r="AP68" t="s">
        <v>938</v>
      </c>
      <c r="AQ68" t="s">
        <v>74</v>
      </c>
      <c r="AR68" t="s">
        <v>922</v>
      </c>
      <c r="AS68" t="s">
        <v>923</v>
      </c>
      <c r="AT68" t="s">
        <v>890</v>
      </c>
      <c r="AU68">
        <v>2004</v>
      </c>
      <c r="AV68">
        <v>16</v>
      </c>
      <c r="AW68">
        <v>4</v>
      </c>
      <c r="AX68" t="s">
        <v>74</v>
      </c>
      <c r="AY68" t="s">
        <v>74</v>
      </c>
      <c r="AZ68" t="s">
        <v>74</v>
      </c>
      <c r="BA68" t="s">
        <v>74</v>
      </c>
      <c r="BB68">
        <v>569</v>
      </c>
      <c r="BC68">
        <v>584</v>
      </c>
      <c r="BD68" t="s">
        <v>74</v>
      </c>
      <c r="BE68" t="s">
        <v>1103</v>
      </c>
      <c r="BF68" t="str">
        <f>HYPERLINK("http://dx.doi.org/10.1017/S0954102004002330","http://dx.doi.org/10.1017/S0954102004002330")</f>
        <v>http://dx.doi.org/10.1017/S0954102004002330</v>
      </c>
      <c r="BG68" t="s">
        <v>74</v>
      </c>
      <c r="BH68" t="s">
        <v>74</v>
      </c>
      <c r="BI68">
        <v>16</v>
      </c>
      <c r="BJ68" t="s">
        <v>925</v>
      </c>
      <c r="BK68" t="s">
        <v>139</v>
      </c>
      <c r="BL68" t="s">
        <v>926</v>
      </c>
      <c r="BM68" t="s">
        <v>927</v>
      </c>
      <c r="BN68" t="s">
        <v>74</v>
      </c>
      <c r="BO68" t="s">
        <v>74</v>
      </c>
      <c r="BP68" t="s">
        <v>74</v>
      </c>
      <c r="BQ68" t="s">
        <v>74</v>
      </c>
      <c r="BR68" t="s">
        <v>98</v>
      </c>
      <c r="BS68" t="s">
        <v>1104</v>
      </c>
      <c r="BT68" t="str">
        <f>HYPERLINK("https%3A%2F%2Fwww.webofscience.com%2Fwos%2Fwoscc%2Ffull-record%2FWOS:000226060800016","View Full Record in Web of Science")</f>
        <v>View Full Record in Web of Science</v>
      </c>
    </row>
    <row r="69" spans="1:72" x14ac:dyDescent="0.15">
      <c r="A69" t="s">
        <v>122</v>
      </c>
      <c r="B69" t="s">
        <v>1105</v>
      </c>
      <c r="C69" t="s">
        <v>74</v>
      </c>
      <c r="D69" t="s">
        <v>74</v>
      </c>
      <c r="E69" t="s">
        <v>74</v>
      </c>
      <c r="F69" t="s">
        <v>1105</v>
      </c>
      <c r="G69" t="s">
        <v>74</v>
      </c>
      <c r="H69" t="s">
        <v>74</v>
      </c>
      <c r="I69" t="s">
        <v>1106</v>
      </c>
      <c r="J69" t="s">
        <v>1107</v>
      </c>
      <c r="K69" t="s">
        <v>74</v>
      </c>
      <c r="L69" t="s">
        <v>74</v>
      </c>
      <c r="M69" t="s">
        <v>79</v>
      </c>
      <c r="N69" t="s">
        <v>126</v>
      </c>
      <c r="O69" t="s">
        <v>74</v>
      </c>
      <c r="P69" t="s">
        <v>74</v>
      </c>
      <c r="Q69" t="s">
        <v>74</v>
      </c>
      <c r="R69" t="s">
        <v>74</v>
      </c>
      <c r="S69" t="s">
        <v>74</v>
      </c>
      <c r="T69" t="s">
        <v>74</v>
      </c>
      <c r="U69" t="s">
        <v>1108</v>
      </c>
      <c r="V69" t="s">
        <v>1109</v>
      </c>
      <c r="W69" t="s">
        <v>1110</v>
      </c>
      <c r="X69" t="s">
        <v>1111</v>
      </c>
      <c r="Y69" t="s">
        <v>1112</v>
      </c>
      <c r="Z69" t="s">
        <v>1113</v>
      </c>
      <c r="AA69" t="s">
        <v>1114</v>
      </c>
      <c r="AB69" t="s">
        <v>1115</v>
      </c>
      <c r="AC69" t="s">
        <v>74</v>
      </c>
      <c r="AD69" t="s">
        <v>74</v>
      </c>
      <c r="AE69" t="s">
        <v>74</v>
      </c>
      <c r="AF69" t="s">
        <v>74</v>
      </c>
      <c r="AG69">
        <v>32</v>
      </c>
      <c r="AH69">
        <v>96</v>
      </c>
      <c r="AI69">
        <v>120</v>
      </c>
      <c r="AJ69">
        <v>0</v>
      </c>
      <c r="AK69">
        <v>24</v>
      </c>
      <c r="AL69" t="s">
        <v>1116</v>
      </c>
      <c r="AM69" t="s">
        <v>240</v>
      </c>
      <c r="AN69" t="s">
        <v>1117</v>
      </c>
      <c r="AO69" t="s">
        <v>1118</v>
      </c>
      <c r="AP69" t="s">
        <v>1119</v>
      </c>
      <c r="AQ69" t="s">
        <v>74</v>
      </c>
      <c r="AR69" t="s">
        <v>1120</v>
      </c>
      <c r="AS69" t="s">
        <v>1121</v>
      </c>
      <c r="AT69" t="s">
        <v>890</v>
      </c>
      <c r="AU69">
        <v>2004</v>
      </c>
      <c r="AV69">
        <v>70</v>
      </c>
      <c r="AW69">
        <v>12</v>
      </c>
      <c r="AX69" t="s">
        <v>74</v>
      </c>
      <c r="AY69" t="s">
        <v>74</v>
      </c>
      <c r="AZ69" t="s">
        <v>74</v>
      </c>
      <c r="BA69" t="s">
        <v>74</v>
      </c>
      <c r="BB69">
        <v>7161</v>
      </c>
      <c r="BC69">
        <v>7172</v>
      </c>
      <c r="BD69" t="s">
        <v>74</v>
      </c>
      <c r="BE69" t="s">
        <v>1122</v>
      </c>
      <c r="BF69" t="str">
        <f>HYPERLINK("http://dx.doi.org/10.1128/AEM.70.12.7161-7172.2004","http://dx.doi.org/10.1128/AEM.70.12.7161-7172.2004")</f>
        <v>http://dx.doi.org/10.1128/AEM.70.12.7161-7172.2004</v>
      </c>
      <c r="BG69" t="s">
        <v>74</v>
      </c>
      <c r="BH69" t="s">
        <v>74</v>
      </c>
      <c r="BI69">
        <v>12</v>
      </c>
      <c r="BJ69" t="s">
        <v>1123</v>
      </c>
      <c r="BK69" t="s">
        <v>139</v>
      </c>
      <c r="BL69" t="s">
        <v>1123</v>
      </c>
      <c r="BM69" t="s">
        <v>1124</v>
      </c>
      <c r="BN69">
        <v>15574913</v>
      </c>
      <c r="BO69" t="s">
        <v>329</v>
      </c>
      <c r="BP69" t="s">
        <v>74</v>
      </c>
      <c r="BQ69" t="s">
        <v>74</v>
      </c>
      <c r="BR69" t="s">
        <v>98</v>
      </c>
      <c r="BS69" t="s">
        <v>1125</v>
      </c>
      <c r="BT69" t="str">
        <f>HYPERLINK("https%3A%2F%2Fwww.webofscience.com%2Fwos%2Fwoscc%2Ffull-record%2FWOS:000225719300028","View Full Record in Web of Science")</f>
        <v>View Full Record in Web of Science</v>
      </c>
    </row>
    <row r="70" spans="1:72" x14ac:dyDescent="0.15">
      <c r="A70" t="s">
        <v>122</v>
      </c>
      <c r="B70" t="s">
        <v>1126</v>
      </c>
      <c r="C70" t="s">
        <v>74</v>
      </c>
      <c r="D70" t="s">
        <v>74</v>
      </c>
      <c r="E70" t="s">
        <v>74</v>
      </c>
      <c r="F70" t="s">
        <v>1126</v>
      </c>
      <c r="G70" t="s">
        <v>74</v>
      </c>
      <c r="H70" t="s">
        <v>74</v>
      </c>
      <c r="I70" t="s">
        <v>1127</v>
      </c>
      <c r="J70" t="s">
        <v>1128</v>
      </c>
      <c r="K70" t="s">
        <v>74</v>
      </c>
      <c r="L70" t="s">
        <v>74</v>
      </c>
      <c r="M70" t="s">
        <v>79</v>
      </c>
      <c r="N70" t="s">
        <v>1129</v>
      </c>
      <c r="O70" t="s">
        <v>1130</v>
      </c>
      <c r="P70" t="s">
        <v>1131</v>
      </c>
      <c r="Q70" t="s">
        <v>1132</v>
      </c>
      <c r="R70" t="s">
        <v>74</v>
      </c>
      <c r="S70" t="s">
        <v>74</v>
      </c>
      <c r="T70" t="s">
        <v>1133</v>
      </c>
      <c r="U70" t="s">
        <v>1134</v>
      </c>
      <c r="V70" t="s">
        <v>1135</v>
      </c>
      <c r="W70" t="s">
        <v>1136</v>
      </c>
      <c r="X70" t="s">
        <v>1137</v>
      </c>
      <c r="Y70" t="s">
        <v>1138</v>
      </c>
      <c r="Z70" t="s">
        <v>1139</v>
      </c>
      <c r="AA70" t="s">
        <v>1140</v>
      </c>
      <c r="AB70" t="s">
        <v>1141</v>
      </c>
      <c r="AC70" t="s">
        <v>74</v>
      </c>
      <c r="AD70" t="s">
        <v>74</v>
      </c>
      <c r="AE70" t="s">
        <v>74</v>
      </c>
      <c r="AF70" t="s">
        <v>74</v>
      </c>
      <c r="AG70">
        <v>38</v>
      </c>
      <c r="AH70">
        <v>18</v>
      </c>
      <c r="AI70">
        <v>19</v>
      </c>
      <c r="AJ70">
        <v>0</v>
      </c>
      <c r="AK70">
        <v>6</v>
      </c>
      <c r="AL70" t="s">
        <v>1142</v>
      </c>
      <c r="AM70" t="s">
        <v>1143</v>
      </c>
      <c r="AN70" t="s">
        <v>1144</v>
      </c>
      <c r="AO70" t="s">
        <v>1145</v>
      </c>
      <c r="AP70" t="s">
        <v>74</v>
      </c>
      <c r="AQ70" t="s">
        <v>74</v>
      </c>
      <c r="AR70" t="s">
        <v>1146</v>
      </c>
      <c r="AS70" t="s">
        <v>1147</v>
      </c>
      <c r="AT70" t="s">
        <v>890</v>
      </c>
      <c r="AU70">
        <v>2004</v>
      </c>
      <c r="AV70">
        <v>18</v>
      </c>
      <c r="AW70">
        <v>12</v>
      </c>
      <c r="AX70" t="s">
        <v>74</v>
      </c>
      <c r="AY70" t="s">
        <v>74</v>
      </c>
      <c r="AZ70" t="s">
        <v>74</v>
      </c>
      <c r="BA70" t="s">
        <v>74</v>
      </c>
      <c r="BB70">
        <v>646</v>
      </c>
      <c r="BC70">
        <v>652</v>
      </c>
      <c r="BD70" t="s">
        <v>74</v>
      </c>
      <c r="BE70" t="s">
        <v>1148</v>
      </c>
      <c r="BF70" t="str">
        <f>HYPERLINK("http://dx.doi.org/10.1002/aoc.701","http://dx.doi.org/10.1002/aoc.701")</f>
        <v>http://dx.doi.org/10.1002/aoc.701</v>
      </c>
      <c r="BG70" t="s">
        <v>74</v>
      </c>
      <c r="BH70" t="s">
        <v>74</v>
      </c>
      <c r="BI70">
        <v>7</v>
      </c>
      <c r="BJ70" t="s">
        <v>1149</v>
      </c>
      <c r="BK70" t="s">
        <v>1150</v>
      </c>
      <c r="BL70" t="s">
        <v>1151</v>
      </c>
      <c r="BM70" t="s">
        <v>1152</v>
      </c>
      <c r="BN70" t="s">
        <v>74</v>
      </c>
      <c r="BO70" t="s">
        <v>74</v>
      </c>
      <c r="BP70" t="s">
        <v>74</v>
      </c>
      <c r="BQ70" t="s">
        <v>74</v>
      </c>
      <c r="BR70" t="s">
        <v>98</v>
      </c>
      <c r="BS70" t="s">
        <v>1153</v>
      </c>
      <c r="BT70" t="str">
        <f>HYPERLINK("https%3A%2F%2Fwww.webofscience.com%2Fwos%2Fwoscc%2Ffull-record%2FWOS:000225801600008","View Full Record in Web of Science")</f>
        <v>View Full Record in Web of Science</v>
      </c>
    </row>
    <row r="71" spans="1:72" x14ac:dyDescent="0.15">
      <c r="A71" t="s">
        <v>122</v>
      </c>
      <c r="B71" t="s">
        <v>1154</v>
      </c>
      <c r="C71" t="s">
        <v>74</v>
      </c>
      <c r="D71" t="s">
        <v>74</v>
      </c>
      <c r="E71" t="s">
        <v>74</v>
      </c>
      <c r="F71" t="s">
        <v>1154</v>
      </c>
      <c r="G71" t="s">
        <v>74</v>
      </c>
      <c r="H71" t="s">
        <v>74</v>
      </c>
      <c r="I71" t="s">
        <v>1155</v>
      </c>
      <c r="J71" t="s">
        <v>1156</v>
      </c>
      <c r="K71" t="s">
        <v>74</v>
      </c>
      <c r="L71" t="s">
        <v>74</v>
      </c>
      <c r="M71" t="s">
        <v>79</v>
      </c>
      <c r="N71" t="s">
        <v>126</v>
      </c>
      <c r="O71" t="s">
        <v>74</v>
      </c>
      <c r="P71" t="s">
        <v>74</v>
      </c>
      <c r="Q71" t="s">
        <v>74</v>
      </c>
      <c r="R71" t="s">
        <v>74</v>
      </c>
      <c r="S71" t="s">
        <v>74</v>
      </c>
      <c r="T71" t="s">
        <v>1157</v>
      </c>
      <c r="U71" t="s">
        <v>1158</v>
      </c>
      <c r="V71" t="s">
        <v>1159</v>
      </c>
      <c r="W71" t="s">
        <v>1160</v>
      </c>
      <c r="X71" t="s">
        <v>1161</v>
      </c>
      <c r="Y71" t="s">
        <v>1162</v>
      </c>
      <c r="Z71" t="s">
        <v>1163</v>
      </c>
      <c r="AA71" t="s">
        <v>1164</v>
      </c>
      <c r="AB71" t="s">
        <v>1165</v>
      </c>
      <c r="AC71" t="s">
        <v>74</v>
      </c>
      <c r="AD71" t="s">
        <v>74</v>
      </c>
      <c r="AE71" t="s">
        <v>74</v>
      </c>
      <c r="AF71" t="s">
        <v>74</v>
      </c>
      <c r="AG71">
        <v>45</v>
      </c>
      <c r="AH71">
        <v>11</v>
      </c>
      <c r="AI71">
        <v>12</v>
      </c>
      <c r="AJ71">
        <v>0</v>
      </c>
      <c r="AK71">
        <v>1</v>
      </c>
      <c r="AL71" t="s">
        <v>1166</v>
      </c>
      <c r="AM71" t="s">
        <v>1167</v>
      </c>
      <c r="AN71" t="s">
        <v>1168</v>
      </c>
      <c r="AO71" t="s">
        <v>1169</v>
      </c>
      <c r="AP71" t="s">
        <v>1170</v>
      </c>
      <c r="AQ71" t="s">
        <v>74</v>
      </c>
      <c r="AR71" t="s">
        <v>1171</v>
      </c>
      <c r="AS71" t="s">
        <v>1172</v>
      </c>
      <c r="AT71" t="s">
        <v>1173</v>
      </c>
      <c r="AU71">
        <v>2004</v>
      </c>
      <c r="AV71">
        <v>616</v>
      </c>
      <c r="AW71">
        <v>2</v>
      </c>
      <c r="AX71">
        <v>1</v>
      </c>
      <c r="AY71" t="s">
        <v>74</v>
      </c>
      <c r="AZ71" t="s">
        <v>74</v>
      </c>
      <c r="BA71" t="s">
        <v>74</v>
      </c>
      <c r="BB71">
        <v>865</v>
      </c>
      <c r="BC71">
        <v>871</v>
      </c>
      <c r="BD71" t="s">
        <v>74</v>
      </c>
      <c r="BE71" t="s">
        <v>1174</v>
      </c>
      <c r="BF71" t="str">
        <f>HYPERLINK("http://dx.doi.org/10.1086/425120","http://dx.doi.org/10.1086/425120")</f>
        <v>http://dx.doi.org/10.1086/425120</v>
      </c>
      <c r="BG71" t="s">
        <v>74</v>
      </c>
      <c r="BH71" t="s">
        <v>74</v>
      </c>
      <c r="BI71">
        <v>7</v>
      </c>
      <c r="BJ71" t="s">
        <v>491</v>
      </c>
      <c r="BK71" t="s">
        <v>139</v>
      </c>
      <c r="BL71" t="s">
        <v>491</v>
      </c>
      <c r="BM71" t="s">
        <v>1175</v>
      </c>
      <c r="BN71" t="s">
        <v>74</v>
      </c>
      <c r="BO71" t="s">
        <v>273</v>
      </c>
      <c r="BP71" t="s">
        <v>74</v>
      </c>
      <c r="BQ71" t="s">
        <v>74</v>
      </c>
      <c r="BR71" t="s">
        <v>98</v>
      </c>
      <c r="BS71" t="s">
        <v>1176</v>
      </c>
      <c r="BT71" t="str">
        <f>HYPERLINK("https%3A%2F%2Fwww.webofscience.com%2Fwos%2Fwoscc%2Ffull-record%2FWOS:000225418100016","View Full Record in Web of Science")</f>
        <v>View Full Record in Web of Science</v>
      </c>
    </row>
    <row r="72" spans="1:72" x14ac:dyDescent="0.15">
      <c r="A72" t="s">
        <v>122</v>
      </c>
      <c r="B72" t="s">
        <v>1177</v>
      </c>
      <c r="C72" t="s">
        <v>74</v>
      </c>
      <c r="D72" t="s">
        <v>74</v>
      </c>
      <c r="E72" t="s">
        <v>74</v>
      </c>
      <c r="F72" t="s">
        <v>1177</v>
      </c>
      <c r="G72" t="s">
        <v>74</v>
      </c>
      <c r="H72" t="s">
        <v>74</v>
      </c>
      <c r="I72" t="s">
        <v>1178</v>
      </c>
      <c r="J72" t="s">
        <v>1179</v>
      </c>
      <c r="K72" t="s">
        <v>74</v>
      </c>
      <c r="L72" t="s">
        <v>74</v>
      </c>
      <c r="M72" t="s">
        <v>79</v>
      </c>
      <c r="N72" t="s">
        <v>126</v>
      </c>
      <c r="O72" t="s">
        <v>74</v>
      </c>
      <c r="P72" t="s">
        <v>74</v>
      </c>
      <c r="Q72" t="s">
        <v>74</v>
      </c>
      <c r="R72" t="s">
        <v>74</v>
      </c>
      <c r="S72" t="s">
        <v>74</v>
      </c>
      <c r="T72" t="s">
        <v>1180</v>
      </c>
      <c r="U72" t="s">
        <v>1181</v>
      </c>
      <c r="V72" t="s">
        <v>1182</v>
      </c>
      <c r="W72" t="s">
        <v>1183</v>
      </c>
      <c r="X72" t="s">
        <v>1184</v>
      </c>
      <c r="Y72" t="s">
        <v>1185</v>
      </c>
      <c r="Z72" t="s">
        <v>1186</v>
      </c>
      <c r="AA72" t="s">
        <v>74</v>
      </c>
      <c r="AB72" t="s">
        <v>1187</v>
      </c>
      <c r="AC72" t="s">
        <v>74</v>
      </c>
      <c r="AD72" t="s">
        <v>74</v>
      </c>
      <c r="AE72" t="s">
        <v>74</v>
      </c>
      <c r="AF72" t="s">
        <v>74</v>
      </c>
      <c r="AG72">
        <v>42</v>
      </c>
      <c r="AH72">
        <v>47</v>
      </c>
      <c r="AI72">
        <v>51</v>
      </c>
      <c r="AJ72">
        <v>0</v>
      </c>
      <c r="AK72">
        <v>4</v>
      </c>
      <c r="AL72" t="s">
        <v>1188</v>
      </c>
      <c r="AM72" t="s">
        <v>1189</v>
      </c>
      <c r="AN72" t="s">
        <v>1190</v>
      </c>
      <c r="AO72" t="s">
        <v>1191</v>
      </c>
      <c r="AP72" t="s">
        <v>74</v>
      </c>
      <c r="AQ72" t="s">
        <v>74</v>
      </c>
      <c r="AR72" t="s">
        <v>1192</v>
      </c>
      <c r="AS72" t="s">
        <v>1193</v>
      </c>
      <c r="AT72" t="s">
        <v>890</v>
      </c>
      <c r="AU72">
        <v>2004</v>
      </c>
      <c r="AV72">
        <v>32</v>
      </c>
      <c r="AW72">
        <v>6</v>
      </c>
      <c r="AX72" t="s">
        <v>74</v>
      </c>
      <c r="AY72" t="s">
        <v>74</v>
      </c>
      <c r="AZ72" t="s">
        <v>74</v>
      </c>
      <c r="BA72" t="s">
        <v>74</v>
      </c>
      <c r="BB72">
        <v>605</v>
      </c>
      <c r="BC72">
        <v>615</v>
      </c>
      <c r="BD72" t="s">
        <v>74</v>
      </c>
      <c r="BE72" t="s">
        <v>1194</v>
      </c>
      <c r="BF72" t="str">
        <f>HYPERLINK("http://dx.doi.org/10.1177/026119290403200611","http://dx.doi.org/10.1177/026119290403200611")</f>
        <v>http://dx.doi.org/10.1177/026119290403200611</v>
      </c>
      <c r="BG72" t="s">
        <v>74</v>
      </c>
      <c r="BH72" t="s">
        <v>74</v>
      </c>
      <c r="BI72">
        <v>11</v>
      </c>
      <c r="BJ72" t="s">
        <v>179</v>
      </c>
      <c r="BK72" t="s">
        <v>139</v>
      </c>
      <c r="BL72" t="s">
        <v>181</v>
      </c>
      <c r="BM72" t="s">
        <v>1195</v>
      </c>
      <c r="BN72">
        <v>15757498</v>
      </c>
      <c r="BO72" t="s">
        <v>273</v>
      </c>
      <c r="BP72" t="s">
        <v>74</v>
      </c>
      <c r="BQ72" t="s">
        <v>74</v>
      </c>
      <c r="BR72" t="s">
        <v>98</v>
      </c>
      <c r="BS72" t="s">
        <v>1196</v>
      </c>
      <c r="BT72" t="str">
        <f>HYPERLINK("https%3A%2F%2Fwww.webofscience.com%2Fwos%2Fwoscc%2Ffull-record%2FWOS:000227225900012","View Full Record in Web of Science")</f>
        <v>View Full Record in Web of Science</v>
      </c>
    </row>
    <row r="73" spans="1:72" x14ac:dyDescent="0.15">
      <c r="A73" t="s">
        <v>122</v>
      </c>
      <c r="B73" t="s">
        <v>1197</v>
      </c>
      <c r="C73" t="s">
        <v>74</v>
      </c>
      <c r="D73" t="s">
        <v>74</v>
      </c>
      <c r="E73" t="s">
        <v>74</v>
      </c>
      <c r="F73" t="s">
        <v>1197</v>
      </c>
      <c r="G73" t="s">
        <v>74</v>
      </c>
      <c r="H73" t="s">
        <v>74</v>
      </c>
      <c r="I73" t="s">
        <v>1198</v>
      </c>
      <c r="J73" t="s">
        <v>1199</v>
      </c>
      <c r="K73" t="s">
        <v>74</v>
      </c>
      <c r="L73" t="s">
        <v>74</v>
      </c>
      <c r="M73" t="s">
        <v>79</v>
      </c>
      <c r="N73" t="s">
        <v>126</v>
      </c>
      <c r="O73" t="s">
        <v>74</v>
      </c>
      <c r="P73" t="s">
        <v>74</v>
      </c>
      <c r="Q73" t="s">
        <v>74</v>
      </c>
      <c r="R73" t="s">
        <v>74</v>
      </c>
      <c r="S73" t="s">
        <v>74</v>
      </c>
      <c r="T73" t="s">
        <v>1200</v>
      </c>
      <c r="U73" t="s">
        <v>1201</v>
      </c>
      <c r="V73" t="s">
        <v>1202</v>
      </c>
      <c r="W73" t="s">
        <v>1203</v>
      </c>
      <c r="X73" t="s">
        <v>1204</v>
      </c>
      <c r="Y73" t="s">
        <v>1205</v>
      </c>
      <c r="Z73" t="s">
        <v>1206</v>
      </c>
      <c r="AA73" t="s">
        <v>74</v>
      </c>
      <c r="AB73" t="s">
        <v>74</v>
      </c>
      <c r="AC73" t="s">
        <v>74</v>
      </c>
      <c r="AD73" t="s">
        <v>74</v>
      </c>
      <c r="AE73" t="s">
        <v>74</v>
      </c>
      <c r="AF73" t="s">
        <v>74</v>
      </c>
      <c r="AG73">
        <v>42</v>
      </c>
      <c r="AH73">
        <v>76</v>
      </c>
      <c r="AI73">
        <v>88</v>
      </c>
      <c r="AJ73">
        <v>1</v>
      </c>
      <c r="AK73">
        <v>49</v>
      </c>
      <c r="AL73" t="s">
        <v>1207</v>
      </c>
      <c r="AM73" t="s">
        <v>375</v>
      </c>
      <c r="AN73" t="s">
        <v>1208</v>
      </c>
      <c r="AO73" t="s">
        <v>1209</v>
      </c>
      <c r="AP73" t="s">
        <v>1210</v>
      </c>
      <c r="AQ73" t="s">
        <v>74</v>
      </c>
      <c r="AR73" t="s">
        <v>1211</v>
      </c>
      <c r="AS73" t="s">
        <v>1212</v>
      </c>
      <c r="AT73" t="s">
        <v>1173</v>
      </c>
      <c r="AU73">
        <v>2004</v>
      </c>
      <c r="AV73">
        <v>384</v>
      </c>
      <c r="AW73" t="s">
        <v>74</v>
      </c>
      <c r="AX73">
        <v>2</v>
      </c>
      <c r="AY73" t="s">
        <v>74</v>
      </c>
      <c r="AZ73" t="s">
        <v>74</v>
      </c>
      <c r="BA73" t="s">
        <v>74</v>
      </c>
      <c r="BB73">
        <v>247</v>
      </c>
      <c r="BC73">
        <v>253</v>
      </c>
      <c r="BD73" t="s">
        <v>74</v>
      </c>
      <c r="BE73" t="s">
        <v>1213</v>
      </c>
      <c r="BF73" t="str">
        <f>HYPERLINK("http://dx.doi.org/10.1042/BJ20040325","http://dx.doi.org/10.1042/BJ20040325")</f>
        <v>http://dx.doi.org/10.1042/BJ20040325</v>
      </c>
      <c r="BG73" t="s">
        <v>74</v>
      </c>
      <c r="BH73" t="s">
        <v>74</v>
      </c>
      <c r="BI73">
        <v>7</v>
      </c>
      <c r="BJ73" t="s">
        <v>1214</v>
      </c>
      <c r="BK73" t="s">
        <v>139</v>
      </c>
      <c r="BL73" t="s">
        <v>1214</v>
      </c>
      <c r="BM73" t="s">
        <v>1215</v>
      </c>
      <c r="BN73">
        <v>15287848</v>
      </c>
      <c r="BO73" t="s">
        <v>1216</v>
      </c>
      <c r="BP73" t="s">
        <v>74</v>
      </c>
      <c r="BQ73" t="s">
        <v>74</v>
      </c>
      <c r="BR73" t="s">
        <v>98</v>
      </c>
      <c r="BS73" t="s">
        <v>1217</v>
      </c>
      <c r="BT73" t="str">
        <f>HYPERLINK("https%3A%2F%2Fwww.webofscience.com%2Fwos%2Fwoscc%2Ffull-record%2FWOS:000225696900004","View Full Record in Web of Science")</f>
        <v>View Full Record in Web of Science</v>
      </c>
    </row>
    <row r="74" spans="1:72" x14ac:dyDescent="0.15">
      <c r="A74" t="s">
        <v>122</v>
      </c>
      <c r="B74" t="s">
        <v>1218</v>
      </c>
      <c r="C74" t="s">
        <v>74</v>
      </c>
      <c r="D74" t="s">
        <v>74</v>
      </c>
      <c r="E74" t="s">
        <v>74</v>
      </c>
      <c r="F74" t="s">
        <v>1218</v>
      </c>
      <c r="G74" t="s">
        <v>74</v>
      </c>
      <c r="H74" t="s">
        <v>74</v>
      </c>
      <c r="I74" t="s">
        <v>1219</v>
      </c>
      <c r="J74" t="s">
        <v>1220</v>
      </c>
      <c r="K74" t="s">
        <v>74</v>
      </c>
      <c r="L74" t="s">
        <v>74</v>
      </c>
      <c r="M74" t="s">
        <v>79</v>
      </c>
      <c r="N74" t="s">
        <v>126</v>
      </c>
      <c r="O74" t="s">
        <v>74</v>
      </c>
      <c r="P74" t="s">
        <v>74</v>
      </c>
      <c r="Q74" t="s">
        <v>74</v>
      </c>
      <c r="R74" t="s">
        <v>74</v>
      </c>
      <c r="S74" t="s">
        <v>74</v>
      </c>
      <c r="T74" t="s">
        <v>1221</v>
      </c>
      <c r="U74" t="s">
        <v>1222</v>
      </c>
      <c r="V74" t="s">
        <v>1223</v>
      </c>
      <c r="W74" t="s">
        <v>1224</v>
      </c>
      <c r="X74" t="s">
        <v>1225</v>
      </c>
      <c r="Y74" t="s">
        <v>1226</v>
      </c>
      <c r="Z74" t="s">
        <v>1227</v>
      </c>
      <c r="AA74" t="s">
        <v>1228</v>
      </c>
      <c r="AB74" t="s">
        <v>74</v>
      </c>
      <c r="AC74" t="s">
        <v>74</v>
      </c>
      <c r="AD74" t="s">
        <v>74</v>
      </c>
      <c r="AE74" t="s">
        <v>74</v>
      </c>
      <c r="AF74" t="s">
        <v>74</v>
      </c>
      <c r="AG74">
        <v>18</v>
      </c>
      <c r="AH74">
        <v>5</v>
      </c>
      <c r="AI74">
        <v>14</v>
      </c>
      <c r="AJ74">
        <v>0</v>
      </c>
      <c r="AK74">
        <v>6</v>
      </c>
      <c r="AL74" t="s">
        <v>1229</v>
      </c>
      <c r="AM74" t="s">
        <v>613</v>
      </c>
      <c r="AN74" t="s">
        <v>1230</v>
      </c>
      <c r="AO74" t="s">
        <v>1231</v>
      </c>
      <c r="AP74" t="s">
        <v>1232</v>
      </c>
      <c r="AQ74" t="s">
        <v>74</v>
      </c>
      <c r="AR74" t="s">
        <v>1233</v>
      </c>
      <c r="AS74" t="s">
        <v>1234</v>
      </c>
      <c r="AT74" t="s">
        <v>890</v>
      </c>
      <c r="AU74">
        <v>2004</v>
      </c>
      <c r="AV74">
        <v>69</v>
      </c>
      <c r="AW74">
        <v>12</v>
      </c>
      <c r="AX74" t="s">
        <v>74</v>
      </c>
      <c r="AY74" t="s">
        <v>74</v>
      </c>
      <c r="AZ74" t="s">
        <v>74</v>
      </c>
      <c r="BA74" t="s">
        <v>74</v>
      </c>
      <c r="BB74">
        <v>1365</v>
      </c>
      <c r="BC74">
        <v>1371</v>
      </c>
      <c r="BD74" t="s">
        <v>74</v>
      </c>
      <c r="BE74" t="s">
        <v>1235</v>
      </c>
      <c r="BF74" t="str">
        <f>HYPERLINK("http://dx.doi.org/10.1007/s10541-005-0082-7","http://dx.doi.org/10.1007/s10541-005-0082-7")</f>
        <v>http://dx.doi.org/10.1007/s10541-005-0082-7</v>
      </c>
      <c r="BG74" t="s">
        <v>74</v>
      </c>
      <c r="BH74" t="s">
        <v>74</v>
      </c>
      <c r="BI74">
        <v>7</v>
      </c>
      <c r="BJ74" t="s">
        <v>1214</v>
      </c>
      <c r="BK74" t="s">
        <v>139</v>
      </c>
      <c r="BL74" t="s">
        <v>1214</v>
      </c>
      <c r="BM74" t="s">
        <v>1236</v>
      </c>
      <c r="BN74">
        <v>15627392</v>
      </c>
      <c r="BO74" t="s">
        <v>74</v>
      </c>
      <c r="BP74" t="s">
        <v>74</v>
      </c>
      <c r="BQ74" t="s">
        <v>74</v>
      </c>
      <c r="BR74" t="s">
        <v>98</v>
      </c>
      <c r="BS74" t="s">
        <v>1237</v>
      </c>
      <c r="BT74" t="str">
        <f>HYPERLINK("https%3A%2F%2Fwww.webofscience.com%2Fwos%2Fwoscc%2Ffull-record%2FWOS:000226698900007","View Full Record in Web of Science")</f>
        <v>View Full Record in Web of Science</v>
      </c>
    </row>
    <row r="75" spans="1:72" x14ac:dyDescent="0.15">
      <c r="A75" t="s">
        <v>122</v>
      </c>
      <c r="B75" t="s">
        <v>1238</v>
      </c>
      <c r="C75" t="s">
        <v>74</v>
      </c>
      <c r="D75" t="s">
        <v>74</v>
      </c>
      <c r="E75" t="s">
        <v>74</v>
      </c>
      <c r="F75" t="s">
        <v>1238</v>
      </c>
      <c r="G75" t="s">
        <v>74</v>
      </c>
      <c r="H75" t="s">
        <v>74</v>
      </c>
      <c r="I75" t="s">
        <v>1239</v>
      </c>
      <c r="J75" t="s">
        <v>1240</v>
      </c>
      <c r="K75" t="s">
        <v>74</v>
      </c>
      <c r="L75" t="s">
        <v>74</v>
      </c>
      <c r="M75" t="s">
        <v>79</v>
      </c>
      <c r="N75" t="s">
        <v>1129</v>
      </c>
      <c r="O75" t="s">
        <v>1241</v>
      </c>
      <c r="P75">
        <v>2001</v>
      </c>
      <c r="Q75" t="s">
        <v>1242</v>
      </c>
      <c r="R75" t="s">
        <v>74</v>
      </c>
      <c r="S75" t="s">
        <v>74</v>
      </c>
      <c r="T75" t="s">
        <v>1243</v>
      </c>
      <c r="U75" t="s">
        <v>1244</v>
      </c>
      <c r="V75" t="s">
        <v>1245</v>
      </c>
      <c r="W75" t="s">
        <v>1246</v>
      </c>
      <c r="X75" t="s">
        <v>1247</v>
      </c>
      <c r="Y75" t="s">
        <v>1248</v>
      </c>
      <c r="Z75" t="s">
        <v>1249</v>
      </c>
      <c r="AA75" t="s">
        <v>74</v>
      </c>
      <c r="AB75" t="s">
        <v>1250</v>
      </c>
      <c r="AC75" t="s">
        <v>74</v>
      </c>
      <c r="AD75" t="s">
        <v>74</v>
      </c>
      <c r="AE75" t="s">
        <v>74</v>
      </c>
      <c r="AF75" t="s">
        <v>74</v>
      </c>
      <c r="AG75">
        <v>24</v>
      </c>
      <c r="AH75">
        <v>29</v>
      </c>
      <c r="AI75">
        <v>36</v>
      </c>
      <c r="AJ75">
        <v>4</v>
      </c>
      <c r="AK75">
        <v>23</v>
      </c>
      <c r="AL75" t="s">
        <v>562</v>
      </c>
      <c r="AM75" t="s">
        <v>532</v>
      </c>
      <c r="AN75" t="s">
        <v>563</v>
      </c>
      <c r="AO75" t="s">
        <v>1251</v>
      </c>
      <c r="AP75" t="s">
        <v>1252</v>
      </c>
      <c r="AQ75" t="s">
        <v>74</v>
      </c>
      <c r="AR75" t="s">
        <v>1253</v>
      </c>
      <c r="AS75" t="s">
        <v>1254</v>
      </c>
      <c r="AT75" t="s">
        <v>890</v>
      </c>
      <c r="AU75">
        <v>2004</v>
      </c>
      <c r="AV75">
        <v>40</v>
      </c>
      <c r="AW75">
        <v>3</v>
      </c>
      <c r="AX75" t="s">
        <v>74</v>
      </c>
      <c r="AY75" t="s">
        <v>74</v>
      </c>
      <c r="AZ75" t="s">
        <v>74</v>
      </c>
      <c r="BA75" t="s">
        <v>74</v>
      </c>
      <c r="BB75">
        <v>165</v>
      </c>
      <c r="BC75">
        <v>178</v>
      </c>
      <c r="BD75" t="s">
        <v>74</v>
      </c>
      <c r="BE75" t="s">
        <v>1255</v>
      </c>
      <c r="BF75" t="str">
        <f>HYPERLINK("http://dx.doi.org/10.1016/j.coldregions.2004.06.009","http://dx.doi.org/10.1016/j.coldregions.2004.06.009")</f>
        <v>http://dx.doi.org/10.1016/j.coldregions.2004.06.009</v>
      </c>
      <c r="BG75" t="s">
        <v>74</v>
      </c>
      <c r="BH75" t="s">
        <v>74</v>
      </c>
      <c r="BI75">
        <v>14</v>
      </c>
      <c r="BJ75" t="s">
        <v>1256</v>
      </c>
      <c r="BK75" t="s">
        <v>1257</v>
      </c>
      <c r="BL75" t="s">
        <v>1258</v>
      </c>
      <c r="BM75" t="s">
        <v>1259</v>
      </c>
      <c r="BN75" t="s">
        <v>74</v>
      </c>
      <c r="BO75" t="s">
        <v>74</v>
      </c>
      <c r="BP75" t="s">
        <v>74</v>
      </c>
      <c r="BQ75" t="s">
        <v>74</v>
      </c>
      <c r="BR75" t="s">
        <v>98</v>
      </c>
      <c r="BS75" t="s">
        <v>1260</v>
      </c>
      <c r="BT75" t="str">
        <f>HYPERLINK("https%3A%2F%2Fwww.webofscience.com%2Fwos%2Fwoscc%2Ffull-record%2FWOS:000225802700002","View Full Record in Web of Science")</f>
        <v>View Full Record in Web of Science</v>
      </c>
    </row>
    <row r="76" spans="1:72" x14ac:dyDescent="0.15">
      <c r="A76" t="s">
        <v>122</v>
      </c>
      <c r="B76" t="s">
        <v>1261</v>
      </c>
      <c r="C76" t="s">
        <v>74</v>
      </c>
      <c r="D76" t="s">
        <v>74</v>
      </c>
      <c r="E76" t="s">
        <v>74</v>
      </c>
      <c r="F76" t="s">
        <v>1261</v>
      </c>
      <c r="G76" t="s">
        <v>74</v>
      </c>
      <c r="H76" t="s">
        <v>74</v>
      </c>
      <c r="I76" t="s">
        <v>1262</v>
      </c>
      <c r="J76" t="s">
        <v>1263</v>
      </c>
      <c r="K76" t="s">
        <v>74</v>
      </c>
      <c r="L76" t="s">
        <v>74</v>
      </c>
      <c r="M76" t="s">
        <v>79</v>
      </c>
      <c r="N76" t="s">
        <v>126</v>
      </c>
      <c r="O76" t="s">
        <v>74</v>
      </c>
      <c r="P76" t="s">
        <v>74</v>
      </c>
      <c r="Q76" t="s">
        <v>74</v>
      </c>
      <c r="R76" t="s">
        <v>74</v>
      </c>
      <c r="S76" t="s">
        <v>74</v>
      </c>
      <c r="T76" t="s">
        <v>1264</v>
      </c>
      <c r="U76" t="s">
        <v>1265</v>
      </c>
      <c r="V76" t="s">
        <v>1266</v>
      </c>
      <c r="W76" t="s">
        <v>1267</v>
      </c>
      <c r="X76" t="s">
        <v>1268</v>
      </c>
      <c r="Y76" t="s">
        <v>1269</v>
      </c>
      <c r="Z76" t="s">
        <v>1270</v>
      </c>
      <c r="AA76" t="s">
        <v>1271</v>
      </c>
      <c r="AB76" t="s">
        <v>1272</v>
      </c>
      <c r="AC76" t="s">
        <v>74</v>
      </c>
      <c r="AD76" t="s">
        <v>74</v>
      </c>
      <c r="AE76" t="s">
        <v>74</v>
      </c>
      <c r="AF76" t="s">
        <v>74</v>
      </c>
      <c r="AG76">
        <v>95</v>
      </c>
      <c r="AH76">
        <v>108</v>
      </c>
      <c r="AI76">
        <v>119</v>
      </c>
      <c r="AJ76">
        <v>1</v>
      </c>
      <c r="AK76">
        <v>40</v>
      </c>
      <c r="AL76" t="s">
        <v>1273</v>
      </c>
      <c r="AM76" t="s">
        <v>197</v>
      </c>
      <c r="AN76" t="s">
        <v>1274</v>
      </c>
      <c r="AO76" t="s">
        <v>1275</v>
      </c>
      <c r="AP76" t="s">
        <v>1276</v>
      </c>
      <c r="AQ76" t="s">
        <v>74</v>
      </c>
      <c r="AR76" t="s">
        <v>1277</v>
      </c>
      <c r="AS76" t="s">
        <v>1278</v>
      </c>
      <c r="AT76" t="s">
        <v>890</v>
      </c>
      <c r="AU76">
        <v>2004</v>
      </c>
      <c r="AV76">
        <v>51</v>
      </c>
      <c r="AW76">
        <v>12</v>
      </c>
      <c r="AX76" t="s">
        <v>74</v>
      </c>
      <c r="AY76" t="s">
        <v>74</v>
      </c>
      <c r="AZ76" t="s">
        <v>74</v>
      </c>
      <c r="BA76" t="s">
        <v>74</v>
      </c>
      <c r="BB76">
        <v>1827</v>
      </c>
      <c r="BC76">
        <v>1850</v>
      </c>
      <c r="BD76" t="s">
        <v>74</v>
      </c>
      <c r="BE76" t="s">
        <v>1279</v>
      </c>
      <c r="BF76" t="str">
        <f>HYPERLINK("http://dx.doi.org/10.1016/j.dsr.2004.08.007","http://dx.doi.org/10.1016/j.dsr.2004.08.007")</f>
        <v>http://dx.doi.org/10.1016/j.dsr.2004.08.007</v>
      </c>
      <c r="BG76" t="s">
        <v>74</v>
      </c>
      <c r="BH76" t="s">
        <v>74</v>
      </c>
      <c r="BI76">
        <v>24</v>
      </c>
      <c r="BJ76" t="s">
        <v>660</v>
      </c>
      <c r="BK76" t="s">
        <v>139</v>
      </c>
      <c r="BL76" t="s">
        <v>660</v>
      </c>
      <c r="BM76" t="s">
        <v>1280</v>
      </c>
      <c r="BN76" t="s">
        <v>74</v>
      </c>
      <c r="BO76" t="s">
        <v>74</v>
      </c>
      <c r="BP76" t="s">
        <v>74</v>
      </c>
      <c r="BQ76" t="s">
        <v>74</v>
      </c>
      <c r="BR76" t="s">
        <v>98</v>
      </c>
      <c r="BS76" t="s">
        <v>1281</v>
      </c>
      <c r="BT76" t="str">
        <f>HYPERLINK("https%3A%2F%2Fwww.webofscience.com%2Fwos%2Fwoscc%2Ffull-record%2FWOS:000226044500003","View Full Record in Web of Science")</f>
        <v>View Full Record in Web of Science</v>
      </c>
    </row>
    <row r="77" spans="1:72" x14ac:dyDescent="0.15">
      <c r="A77" t="s">
        <v>122</v>
      </c>
      <c r="B77" t="s">
        <v>1282</v>
      </c>
      <c r="C77" t="s">
        <v>74</v>
      </c>
      <c r="D77" t="s">
        <v>74</v>
      </c>
      <c r="E77" t="s">
        <v>74</v>
      </c>
      <c r="F77" t="s">
        <v>1282</v>
      </c>
      <c r="G77" t="s">
        <v>74</v>
      </c>
      <c r="H77" t="s">
        <v>74</v>
      </c>
      <c r="I77" t="s">
        <v>1283</v>
      </c>
      <c r="J77" t="s">
        <v>1263</v>
      </c>
      <c r="K77" t="s">
        <v>74</v>
      </c>
      <c r="L77" t="s">
        <v>74</v>
      </c>
      <c r="M77" t="s">
        <v>79</v>
      </c>
      <c r="N77" t="s">
        <v>126</v>
      </c>
      <c r="O77" t="s">
        <v>74</v>
      </c>
      <c r="P77" t="s">
        <v>74</v>
      </c>
      <c r="Q77" t="s">
        <v>74</v>
      </c>
      <c r="R77" t="s">
        <v>74</v>
      </c>
      <c r="S77" t="s">
        <v>74</v>
      </c>
      <c r="T77" t="s">
        <v>1284</v>
      </c>
      <c r="U77" t="s">
        <v>1285</v>
      </c>
      <c r="V77" t="s">
        <v>1286</v>
      </c>
      <c r="W77" t="s">
        <v>1287</v>
      </c>
      <c r="X77" t="s">
        <v>1288</v>
      </c>
      <c r="Y77" t="s">
        <v>1289</v>
      </c>
      <c r="Z77" t="s">
        <v>1290</v>
      </c>
      <c r="AA77" t="s">
        <v>1291</v>
      </c>
      <c r="AB77" t="s">
        <v>1292</v>
      </c>
      <c r="AC77" t="s">
        <v>74</v>
      </c>
      <c r="AD77" t="s">
        <v>74</v>
      </c>
      <c r="AE77" t="s">
        <v>74</v>
      </c>
      <c r="AF77" t="s">
        <v>74</v>
      </c>
      <c r="AG77">
        <v>40</v>
      </c>
      <c r="AH77">
        <v>26</v>
      </c>
      <c r="AI77">
        <v>28</v>
      </c>
      <c r="AJ77">
        <v>0</v>
      </c>
      <c r="AK77">
        <v>8</v>
      </c>
      <c r="AL77" t="s">
        <v>1273</v>
      </c>
      <c r="AM77" t="s">
        <v>197</v>
      </c>
      <c r="AN77" t="s">
        <v>1274</v>
      </c>
      <c r="AO77" t="s">
        <v>1275</v>
      </c>
      <c r="AP77" t="s">
        <v>1276</v>
      </c>
      <c r="AQ77" t="s">
        <v>74</v>
      </c>
      <c r="AR77" t="s">
        <v>1277</v>
      </c>
      <c r="AS77" t="s">
        <v>1278</v>
      </c>
      <c r="AT77" t="s">
        <v>890</v>
      </c>
      <c r="AU77">
        <v>2004</v>
      </c>
      <c r="AV77">
        <v>51</v>
      </c>
      <c r="AW77">
        <v>12</v>
      </c>
      <c r="AX77" t="s">
        <v>74</v>
      </c>
      <c r="AY77" t="s">
        <v>74</v>
      </c>
      <c r="AZ77" t="s">
        <v>74</v>
      </c>
      <c r="BA77" t="s">
        <v>74</v>
      </c>
      <c r="BB77">
        <v>2047</v>
      </c>
      <c r="BC77">
        <v>2072</v>
      </c>
      <c r="BD77" t="s">
        <v>74</v>
      </c>
      <c r="BE77" t="s">
        <v>1293</v>
      </c>
      <c r="BF77" t="str">
        <f>HYPERLINK("http://dx.doi.org/10.1016/j.dsr.2004.06.013","http://dx.doi.org/10.1016/j.dsr.2004.06.013")</f>
        <v>http://dx.doi.org/10.1016/j.dsr.2004.06.013</v>
      </c>
      <c r="BG77" t="s">
        <v>74</v>
      </c>
      <c r="BH77" t="s">
        <v>74</v>
      </c>
      <c r="BI77">
        <v>26</v>
      </c>
      <c r="BJ77" t="s">
        <v>660</v>
      </c>
      <c r="BK77" t="s">
        <v>139</v>
      </c>
      <c r="BL77" t="s">
        <v>660</v>
      </c>
      <c r="BM77" t="s">
        <v>1280</v>
      </c>
      <c r="BN77" t="s">
        <v>74</v>
      </c>
      <c r="BO77" t="s">
        <v>74</v>
      </c>
      <c r="BP77" t="s">
        <v>74</v>
      </c>
      <c r="BQ77" t="s">
        <v>74</v>
      </c>
      <c r="BR77" t="s">
        <v>98</v>
      </c>
      <c r="BS77" t="s">
        <v>1294</v>
      </c>
      <c r="BT77" t="str">
        <f>HYPERLINK("https%3A%2F%2Fwww.webofscience.com%2Fwos%2Fwoscc%2Ffull-record%2FWOS:000226044500014","View Full Record in Web of Science")</f>
        <v>View Full Record in Web of Science</v>
      </c>
    </row>
    <row r="78" spans="1:72" x14ac:dyDescent="0.15">
      <c r="A78" t="s">
        <v>122</v>
      </c>
      <c r="B78" t="s">
        <v>1295</v>
      </c>
      <c r="C78" t="s">
        <v>74</v>
      </c>
      <c r="D78" t="s">
        <v>74</v>
      </c>
      <c r="E78" t="s">
        <v>74</v>
      </c>
      <c r="F78" t="s">
        <v>1295</v>
      </c>
      <c r="G78" t="s">
        <v>74</v>
      </c>
      <c r="H78" t="s">
        <v>74</v>
      </c>
      <c r="I78" t="s">
        <v>1296</v>
      </c>
      <c r="J78" t="s">
        <v>1297</v>
      </c>
      <c r="K78" t="s">
        <v>74</v>
      </c>
      <c r="L78" t="s">
        <v>74</v>
      </c>
      <c r="M78" t="s">
        <v>79</v>
      </c>
      <c r="N78" t="s">
        <v>840</v>
      </c>
      <c r="O78" t="s">
        <v>74</v>
      </c>
      <c r="P78" t="s">
        <v>74</v>
      </c>
      <c r="Q78" t="s">
        <v>74</v>
      </c>
      <c r="R78" t="s">
        <v>74</v>
      </c>
      <c r="S78" t="s">
        <v>74</v>
      </c>
      <c r="T78" t="s">
        <v>74</v>
      </c>
      <c r="U78" t="s">
        <v>74</v>
      </c>
      <c r="V78" t="s">
        <v>74</v>
      </c>
      <c r="W78" t="s">
        <v>74</v>
      </c>
      <c r="X78" t="s">
        <v>74</v>
      </c>
      <c r="Y78" t="s">
        <v>74</v>
      </c>
      <c r="Z78" t="s">
        <v>74</v>
      </c>
      <c r="AA78" t="s">
        <v>74</v>
      </c>
      <c r="AB78" t="s">
        <v>74</v>
      </c>
      <c r="AC78" t="s">
        <v>74</v>
      </c>
      <c r="AD78" t="s">
        <v>74</v>
      </c>
      <c r="AE78" t="s">
        <v>74</v>
      </c>
      <c r="AF78" t="s">
        <v>74</v>
      </c>
      <c r="AG78">
        <v>0</v>
      </c>
      <c r="AH78">
        <v>0</v>
      </c>
      <c r="AI78">
        <v>0</v>
      </c>
      <c r="AJ78">
        <v>0</v>
      </c>
      <c r="AK78">
        <v>6</v>
      </c>
      <c r="AL78" t="s">
        <v>1298</v>
      </c>
      <c r="AM78" t="s">
        <v>240</v>
      </c>
      <c r="AN78" t="s">
        <v>1299</v>
      </c>
      <c r="AO78" t="s">
        <v>1300</v>
      </c>
      <c r="AP78" t="s">
        <v>74</v>
      </c>
      <c r="AQ78" t="s">
        <v>74</v>
      </c>
      <c r="AR78" t="s">
        <v>1301</v>
      </c>
      <c r="AS78" t="s">
        <v>1302</v>
      </c>
      <c r="AT78" t="s">
        <v>890</v>
      </c>
      <c r="AU78">
        <v>2004</v>
      </c>
      <c r="AV78">
        <v>2</v>
      </c>
      <c r="AW78">
        <v>10</v>
      </c>
      <c r="AX78" t="s">
        <v>74</v>
      </c>
      <c r="AY78" t="s">
        <v>74</v>
      </c>
      <c r="AZ78" t="s">
        <v>74</v>
      </c>
      <c r="BA78" t="s">
        <v>74</v>
      </c>
      <c r="BB78">
        <v>511</v>
      </c>
      <c r="BC78">
        <v>511</v>
      </c>
      <c r="BD78" t="s">
        <v>74</v>
      </c>
      <c r="BE78" t="s">
        <v>1303</v>
      </c>
      <c r="BF78" t="str">
        <f>HYPERLINK("http://dx.doi.org/10.2307/3868377","http://dx.doi.org/10.2307/3868377")</f>
        <v>http://dx.doi.org/10.2307/3868377</v>
      </c>
      <c r="BG78" t="s">
        <v>74</v>
      </c>
      <c r="BH78" t="s">
        <v>74</v>
      </c>
      <c r="BI78">
        <v>1</v>
      </c>
      <c r="BJ78" t="s">
        <v>1304</v>
      </c>
      <c r="BK78" t="s">
        <v>139</v>
      </c>
      <c r="BL78" t="s">
        <v>1305</v>
      </c>
      <c r="BM78" t="s">
        <v>1306</v>
      </c>
      <c r="BN78" t="s">
        <v>74</v>
      </c>
      <c r="BO78" t="s">
        <v>74</v>
      </c>
      <c r="BP78" t="s">
        <v>74</v>
      </c>
      <c r="BQ78" t="s">
        <v>74</v>
      </c>
      <c r="BR78" t="s">
        <v>98</v>
      </c>
      <c r="BS78" t="s">
        <v>1307</v>
      </c>
      <c r="BT78" t="str">
        <f>HYPERLINK("https%3A%2F%2Fwww.webofscience.com%2Fwos%2Fwoscc%2Ffull-record%2FWOS:000225650800007","View Full Record in Web of Science")</f>
        <v>View Full Record in Web of Science</v>
      </c>
    </row>
    <row r="79" spans="1:72" x14ac:dyDescent="0.15">
      <c r="A79" t="s">
        <v>122</v>
      </c>
      <c r="B79" t="s">
        <v>1308</v>
      </c>
      <c r="C79" t="s">
        <v>74</v>
      </c>
      <c r="D79" t="s">
        <v>74</v>
      </c>
      <c r="E79" t="s">
        <v>74</v>
      </c>
      <c r="F79" t="s">
        <v>1308</v>
      </c>
      <c r="G79" t="s">
        <v>74</v>
      </c>
      <c r="H79" t="s">
        <v>74</v>
      </c>
      <c r="I79" t="s">
        <v>1309</v>
      </c>
      <c r="J79" t="s">
        <v>1310</v>
      </c>
      <c r="K79" t="s">
        <v>74</v>
      </c>
      <c r="L79" t="s">
        <v>74</v>
      </c>
      <c r="M79" t="s">
        <v>79</v>
      </c>
      <c r="N79" t="s">
        <v>840</v>
      </c>
      <c r="O79" t="s">
        <v>74</v>
      </c>
      <c r="P79" t="s">
        <v>74</v>
      </c>
      <c r="Q79" t="s">
        <v>74</v>
      </c>
      <c r="R79" t="s">
        <v>74</v>
      </c>
      <c r="S79" t="s">
        <v>74</v>
      </c>
      <c r="T79" t="s">
        <v>74</v>
      </c>
      <c r="U79" t="s">
        <v>74</v>
      </c>
      <c r="V79" t="s">
        <v>74</v>
      </c>
      <c r="W79" t="s">
        <v>74</v>
      </c>
      <c r="X79" t="s">
        <v>74</v>
      </c>
      <c r="Y79" t="s">
        <v>74</v>
      </c>
      <c r="Z79" t="s">
        <v>74</v>
      </c>
      <c r="AA79" t="s">
        <v>74</v>
      </c>
      <c r="AB79" t="s">
        <v>74</v>
      </c>
      <c r="AC79" t="s">
        <v>74</v>
      </c>
      <c r="AD79" t="s">
        <v>74</v>
      </c>
      <c r="AE79" t="s">
        <v>74</v>
      </c>
      <c r="AF79" t="s">
        <v>74</v>
      </c>
      <c r="AG79">
        <v>0</v>
      </c>
      <c r="AH79">
        <v>0</v>
      </c>
      <c r="AI79">
        <v>0</v>
      </c>
      <c r="AJ79">
        <v>0</v>
      </c>
      <c r="AK79">
        <v>0</v>
      </c>
      <c r="AL79" t="s">
        <v>1311</v>
      </c>
      <c r="AM79" t="s">
        <v>1312</v>
      </c>
      <c r="AN79" t="s">
        <v>1313</v>
      </c>
      <c r="AO79" t="s">
        <v>1314</v>
      </c>
      <c r="AP79" t="s">
        <v>74</v>
      </c>
      <c r="AQ79" t="s">
        <v>74</v>
      </c>
      <c r="AR79" t="s">
        <v>1310</v>
      </c>
      <c r="AS79" t="s">
        <v>1315</v>
      </c>
      <c r="AT79" t="s">
        <v>890</v>
      </c>
      <c r="AU79">
        <v>2004</v>
      </c>
      <c r="AV79">
        <v>49</v>
      </c>
      <c r="AW79">
        <v>12</v>
      </c>
      <c r="AX79" t="s">
        <v>74</v>
      </c>
      <c r="AY79" t="s">
        <v>74</v>
      </c>
      <c r="AZ79" t="s">
        <v>74</v>
      </c>
      <c r="BA79" t="s">
        <v>74</v>
      </c>
      <c r="BB79">
        <v>10</v>
      </c>
      <c r="BC79">
        <v>11</v>
      </c>
      <c r="BD79" t="s">
        <v>74</v>
      </c>
      <c r="BE79" t="s">
        <v>74</v>
      </c>
      <c r="BF79" t="s">
        <v>74</v>
      </c>
      <c r="BG79" t="s">
        <v>74</v>
      </c>
      <c r="BH79" t="s">
        <v>74</v>
      </c>
      <c r="BI79">
        <v>2</v>
      </c>
      <c r="BJ79" t="s">
        <v>248</v>
      </c>
      <c r="BK79" t="s">
        <v>139</v>
      </c>
      <c r="BL79" t="s">
        <v>249</v>
      </c>
      <c r="BM79" t="s">
        <v>1316</v>
      </c>
      <c r="BN79" t="s">
        <v>74</v>
      </c>
      <c r="BO79" t="s">
        <v>74</v>
      </c>
      <c r="BP79" t="s">
        <v>74</v>
      </c>
      <c r="BQ79" t="s">
        <v>74</v>
      </c>
      <c r="BR79" t="s">
        <v>98</v>
      </c>
      <c r="BS79" t="s">
        <v>1317</v>
      </c>
      <c r="BT79" t="str">
        <f>HYPERLINK("https%3A%2F%2Fwww.webofscience.com%2Fwos%2Fwoscc%2Ffull-record%2FWOS:000225652300009","View Full Record in Web of Science")</f>
        <v>View Full Record in Web of Science</v>
      </c>
    </row>
    <row r="80" spans="1:72" x14ac:dyDescent="0.15">
      <c r="A80" t="s">
        <v>122</v>
      </c>
      <c r="B80" t="s">
        <v>1318</v>
      </c>
      <c r="C80" t="s">
        <v>74</v>
      </c>
      <c r="D80" t="s">
        <v>74</v>
      </c>
      <c r="E80" t="s">
        <v>74</v>
      </c>
      <c r="F80" t="s">
        <v>1318</v>
      </c>
      <c r="G80" t="s">
        <v>74</v>
      </c>
      <c r="H80" t="s">
        <v>74</v>
      </c>
      <c r="I80" t="s">
        <v>1319</v>
      </c>
      <c r="J80" t="s">
        <v>1320</v>
      </c>
      <c r="K80" t="s">
        <v>74</v>
      </c>
      <c r="L80" t="s">
        <v>74</v>
      </c>
      <c r="M80" t="s">
        <v>79</v>
      </c>
      <c r="N80" t="s">
        <v>126</v>
      </c>
      <c r="O80" t="s">
        <v>74</v>
      </c>
      <c r="P80" t="s">
        <v>74</v>
      </c>
      <c r="Q80" t="s">
        <v>74</v>
      </c>
      <c r="R80" t="s">
        <v>74</v>
      </c>
      <c r="S80" t="s">
        <v>74</v>
      </c>
      <c r="T80" t="s">
        <v>1321</v>
      </c>
      <c r="U80" t="s">
        <v>1322</v>
      </c>
      <c r="V80" t="s">
        <v>1323</v>
      </c>
      <c r="W80" t="s">
        <v>1324</v>
      </c>
      <c r="X80" t="s">
        <v>1325</v>
      </c>
      <c r="Y80" t="s">
        <v>1326</v>
      </c>
      <c r="Z80" t="s">
        <v>1327</v>
      </c>
      <c r="AA80" t="s">
        <v>1328</v>
      </c>
      <c r="AB80" t="s">
        <v>1329</v>
      </c>
      <c r="AC80" t="s">
        <v>74</v>
      </c>
      <c r="AD80" t="s">
        <v>74</v>
      </c>
      <c r="AE80" t="s">
        <v>74</v>
      </c>
      <c r="AF80" t="s">
        <v>74</v>
      </c>
      <c r="AG80">
        <v>58</v>
      </c>
      <c r="AH80">
        <v>305</v>
      </c>
      <c r="AI80">
        <v>339</v>
      </c>
      <c r="AJ80">
        <v>5</v>
      </c>
      <c r="AK80">
        <v>139</v>
      </c>
      <c r="AL80" t="s">
        <v>1330</v>
      </c>
      <c r="AM80" t="s">
        <v>197</v>
      </c>
      <c r="AN80" t="s">
        <v>1331</v>
      </c>
      <c r="AO80" t="s">
        <v>1332</v>
      </c>
      <c r="AP80" t="s">
        <v>74</v>
      </c>
      <c r="AQ80" t="s">
        <v>74</v>
      </c>
      <c r="AR80" t="s">
        <v>1333</v>
      </c>
      <c r="AS80" t="s">
        <v>1334</v>
      </c>
      <c r="AT80" t="s">
        <v>890</v>
      </c>
      <c r="AU80">
        <v>2004</v>
      </c>
      <c r="AV80">
        <v>10</v>
      </c>
      <c r="AW80">
        <v>12</v>
      </c>
      <c r="AX80" t="s">
        <v>74</v>
      </c>
      <c r="AY80" t="s">
        <v>74</v>
      </c>
      <c r="AZ80" t="s">
        <v>74</v>
      </c>
      <c r="BA80" t="s">
        <v>74</v>
      </c>
      <c r="BB80">
        <v>1973</v>
      </c>
      <c r="BC80">
        <v>1980</v>
      </c>
      <c r="BD80" t="s">
        <v>74</v>
      </c>
      <c r="BE80" t="s">
        <v>1335</v>
      </c>
      <c r="BF80" t="str">
        <f>HYPERLINK("http://dx.doi.org/10.1111/j.1365-2486.2004.00825.x","http://dx.doi.org/10.1111/j.1365-2486.2004.00825.x")</f>
        <v>http://dx.doi.org/10.1111/j.1365-2486.2004.00825.x</v>
      </c>
      <c r="BG80" t="s">
        <v>74</v>
      </c>
      <c r="BH80" t="s">
        <v>74</v>
      </c>
      <c r="BI80">
        <v>8</v>
      </c>
      <c r="BJ80" t="s">
        <v>1336</v>
      </c>
      <c r="BK80" t="s">
        <v>139</v>
      </c>
      <c r="BL80" t="s">
        <v>1337</v>
      </c>
      <c r="BM80" t="s">
        <v>1338</v>
      </c>
      <c r="BN80" t="s">
        <v>74</v>
      </c>
      <c r="BO80" t="s">
        <v>988</v>
      </c>
      <c r="BP80" t="s">
        <v>74</v>
      </c>
      <c r="BQ80" t="s">
        <v>74</v>
      </c>
      <c r="BR80" t="s">
        <v>98</v>
      </c>
      <c r="BS80" t="s">
        <v>1339</v>
      </c>
      <c r="BT80" t="str">
        <f>HYPERLINK("https%3A%2F%2Fwww.webofscience.com%2Fwos%2Fwoscc%2Ffull-record%2FWOS:000225487900002","View Full Record in Web of Science")</f>
        <v>View Full Record in Web of Science</v>
      </c>
    </row>
    <row r="81" spans="1:72" x14ac:dyDescent="0.15">
      <c r="A81" t="s">
        <v>122</v>
      </c>
      <c r="B81" t="s">
        <v>1340</v>
      </c>
      <c r="C81" t="s">
        <v>74</v>
      </c>
      <c r="D81" t="s">
        <v>74</v>
      </c>
      <c r="E81" t="s">
        <v>74</v>
      </c>
      <c r="F81" t="s">
        <v>1340</v>
      </c>
      <c r="G81" t="s">
        <v>74</v>
      </c>
      <c r="H81" t="s">
        <v>74</v>
      </c>
      <c r="I81" t="s">
        <v>1341</v>
      </c>
      <c r="J81" t="s">
        <v>1342</v>
      </c>
      <c r="K81" t="s">
        <v>74</v>
      </c>
      <c r="L81" t="s">
        <v>74</v>
      </c>
      <c r="M81" t="s">
        <v>79</v>
      </c>
      <c r="N81" t="s">
        <v>126</v>
      </c>
      <c r="O81" t="s">
        <v>74</v>
      </c>
      <c r="P81" t="s">
        <v>74</v>
      </c>
      <c r="Q81" t="s">
        <v>74</v>
      </c>
      <c r="R81" t="s">
        <v>74</v>
      </c>
      <c r="S81" t="s">
        <v>74</v>
      </c>
      <c r="T81" t="s">
        <v>1343</v>
      </c>
      <c r="U81" t="s">
        <v>1344</v>
      </c>
      <c r="V81" t="s">
        <v>1345</v>
      </c>
      <c r="W81" t="s">
        <v>1346</v>
      </c>
      <c r="X81" t="s">
        <v>1347</v>
      </c>
      <c r="Y81" t="s">
        <v>1348</v>
      </c>
      <c r="Z81" t="s">
        <v>1349</v>
      </c>
      <c r="AA81" t="s">
        <v>1350</v>
      </c>
      <c r="AB81" t="s">
        <v>1351</v>
      </c>
      <c r="AC81" t="s">
        <v>74</v>
      </c>
      <c r="AD81" t="s">
        <v>74</v>
      </c>
      <c r="AE81" t="s">
        <v>74</v>
      </c>
      <c r="AF81" t="s">
        <v>74</v>
      </c>
      <c r="AG81">
        <v>37</v>
      </c>
      <c r="AH81">
        <v>25</v>
      </c>
      <c r="AI81">
        <v>33</v>
      </c>
      <c r="AJ81">
        <v>0</v>
      </c>
      <c r="AK81">
        <v>4</v>
      </c>
      <c r="AL81" t="s">
        <v>1352</v>
      </c>
      <c r="AM81" t="s">
        <v>751</v>
      </c>
      <c r="AN81" t="s">
        <v>1353</v>
      </c>
      <c r="AO81" t="s">
        <v>1354</v>
      </c>
      <c r="AP81" t="s">
        <v>1355</v>
      </c>
      <c r="AQ81" t="s">
        <v>74</v>
      </c>
      <c r="AR81" t="s">
        <v>1342</v>
      </c>
      <c r="AS81" t="s">
        <v>1356</v>
      </c>
      <c r="AT81" t="s">
        <v>890</v>
      </c>
      <c r="AU81">
        <v>2004</v>
      </c>
      <c r="AV81">
        <v>41</v>
      </c>
      <c r="AW81">
        <v>4</v>
      </c>
      <c r="AX81" t="s">
        <v>74</v>
      </c>
      <c r="AY81" t="s">
        <v>74</v>
      </c>
      <c r="AZ81" t="s">
        <v>74</v>
      </c>
      <c r="BA81" t="s">
        <v>74</v>
      </c>
      <c r="BB81">
        <v>201</v>
      </c>
      <c r="BC81">
        <v>207</v>
      </c>
      <c r="BD81" t="s">
        <v>74</v>
      </c>
      <c r="BE81" t="s">
        <v>74</v>
      </c>
      <c r="BF81" t="s">
        <v>74</v>
      </c>
      <c r="BG81" t="s">
        <v>74</v>
      </c>
      <c r="BH81" t="s">
        <v>74</v>
      </c>
      <c r="BI81">
        <v>7</v>
      </c>
      <c r="BJ81" t="s">
        <v>1357</v>
      </c>
      <c r="BK81" t="s">
        <v>139</v>
      </c>
      <c r="BL81" t="s">
        <v>1357</v>
      </c>
      <c r="BM81" t="s">
        <v>1358</v>
      </c>
      <c r="BN81" t="s">
        <v>74</v>
      </c>
      <c r="BO81" t="s">
        <v>74</v>
      </c>
      <c r="BP81" t="s">
        <v>74</v>
      </c>
      <c r="BQ81" t="s">
        <v>74</v>
      </c>
      <c r="BR81" t="s">
        <v>98</v>
      </c>
      <c r="BS81" t="s">
        <v>1359</v>
      </c>
      <c r="BT81" t="str">
        <f>HYPERLINK("https%3A%2F%2Fwww.webofscience.com%2Fwos%2Fwoscc%2Ffull-record%2FWOS:000226018300007","View Full Record in Web of Science")</f>
        <v>View Full Record in Web of Science</v>
      </c>
    </row>
    <row r="82" spans="1:72" x14ac:dyDescent="0.15">
      <c r="A82" t="s">
        <v>122</v>
      </c>
      <c r="B82" t="s">
        <v>1360</v>
      </c>
      <c r="C82" t="s">
        <v>74</v>
      </c>
      <c r="D82" t="s">
        <v>74</v>
      </c>
      <c r="E82" t="s">
        <v>74</v>
      </c>
      <c r="F82" t="s">
        <v>1360</v>
      </c>
      <c r="G82" t="s">
        <v>74</v>
      </c>
      <c r="H82" t="s">
        <v>74</v>
      </c>
      <c r="I82" t="s">
        <v>1361</v>
      </c>
      <c r="J82" t="s">
        <v>1362</v>
      </c>
      <c r="K82" t="s">
        <v>74</v>
      </c>
      <c r="L82" t="s">
        <v>74</v>
      </c>
      <c r="M82" t="s">
        <v>79</v>
      </c>
      <c r="N82" t="s">
        <v>52</v>
      </c>
      <c r="O82" t="s">
        <v>1363</v>
      </c>
      <c r="P82" t="s">
        <v>1364</v>
      </c>
      <c r="Q82" t="s">
        <v>1365</v>
      </c>
      <c r="R82" t="s">
        <v>74</v>
      </c>
      <c r="S82" t="s">
        <v>74</v>
      </c>
      <c r="T82" t="s">
        <v>74</v>
      </c>
      <c r="U82" t="s">
        <v>74</v>
      </c>
      <c r="V82" t="s">
        <v>74</v>
      </c>
      <c r="W82" t="s">
        <v>1366</v>
      </c>
      <c r="X82" t="s">
        <v>1367</v>
      </c>
      <c r="Y82" t="s">
        <v>74</v>
      </c>
      <c r="Z82" t="s">
        <v>1368</v>
      </c>
      <c r="AA82" t="s">
        <v>1369</v>
      </c>
      <c r="AB82" t="s">
        <v>74</v>
      </c>
      <c r="AC82" t="s">
        <v>74</v>
      </c>
      <c r="AD82" t="s">
        <v>74</v>
      </c>
      <c r="AE82" t="s">
        <v>74</v>
      </c>
      <c r="AF82" t="s">
        <v>74</v>
      </c>
      <c r="AG82">
        <v>0</v>
      </c>
      <c r="AH82">
        <v>0</v>
      </c>
      <c r="AI82">
        <v>0</v>
      </c>
      <c r="AJ82">
        <v>0</v>
      </c>
      <c r="AK82">
        <v>0</v>
      </c>
      <c r="AL82" t="s">
        <v>1370</v>
      </c>
      <c r="AM82" t="s">
        <v>1371</v>
      </c>
      <c r="AN82" t="s">
        <v>1372</v>
      </c>
      <c r="AO82" t="s">
        <v>1373</v>
      </c>
      <c r="AP82" t="s">
        <v>1374</v>
      </c>
      <c r="AQ82" t="s">
        <v>74</v>
      </c>
      <c r="AR82" t="s">
        <v>1375</v>
      </c>
      <c r="AS82" t="s">
        <v>1376</v>
      </c>
      <c r="AT82" t="s">
        <v>890</v>
      </c>
      <c r="AU82">
        <v>2004</v>
      </c>
      <c r="AV82">
        <v>44</v>
      </c>
      <c r="AW82">
        <v>6</v>
      </c>
      <c r="AX82" t="s">
        <v>74</v>
      </c>
      <c r="AY82" t="s">
        <v>74</v>
      </c>
      <c r="AZ82" t="s">
        <v>74</v>
      </c>
      <c r="BA82" t="s">
        <v>74</v>
      </c>
      <c r="BB82">
        <v>572</v>
      </c>
      <c r="BC82">
        <v>572</v>
      </c>
      <c r="BD82" t="s">
        <v>74</v>
      </c>
      <c r="BE82" t="s">
        <v>74</v>
      </c>
      <c r="BF82" t="s">
        <v>74</v>
      </c>
      <c r="BG82" t="s">
        <v>74</v>
      </c>
      <c r="BH82" t="s">
        <v>74</v>
      </c>
      <c r="BI82">
        <v>1</v>
      </c>
      <c r="BJ82" t="s">
        <v>205</v>
      </c>
      <c r="BK82" t="s">
        <v>1257</v>
      </c>
      <c r="BL82" t="s">
        <v>205</v>
      </c>
      <c r="BM82" t="s">
        <v>1377</v>
      </c>
      <c r="BN82" t="s">
        <v>74</v>
      </c>
      <c r="BO82" t="s">
        <v>74</v>
      </c>
      <c r="BP82" t="s">
        <v>74</v>
      </c>
      <c r="BQ82" t="s">
        <v>74</v>
      </c>
      <c r="BR82" t="s">
        <v>98</v>
      </c>
      <c r="BS82" t="s">
        <v>1378</v>
      </c>
      <c r="BT82" t="str">
        <f>HYPERLINK("https%3A%2F%2Fwww.webofscience.com%2Fwos%2Fwoscc%2Ffull-record%2FWOS:000226721400248","View Full Record in Web of Science")</f>
        <v>View Full Record in Web of Science</v>
      </c>
    </row>
    <row r="83" spans="1:72" x14ac:dyDescent="0.15">
      <c r="A83" t="s">
        <v>122</v>
      </c>
      <c r="B83" t="s">
        <v>1379</v>
      </c>
      <c r="C83" t="s">
        <v>74</v>
      </c>
      <c r="D83" t="s">
        <v>74</v>
      </c>
      <c r="E83" t="s">
        <v>74</v>
      </c>
      <c r="F83" t="s">
        <v>1379</v>
      </c>
      <c r="G83" t="s">
        <v>74</v>
      </c>
      <c r="H83" t="s">
        <v>74</v>
      </c>
      <c r="I83" t="s">
        <v>1380</v>
      </c>
      <c r="J83" t="s">
        <v>1362</v>
      </c>
      <c r="K83" t="s">
        <v>74</v>
      </c>
      <c r="L83" t="s">
        <v>74</v>
      </c>
      <c r="M83" t="s">
        <v>79</v>
      </c>
      <c r="N83" t="s">
        <v>52</v>
      </c>
      <c r="O83" t="s">
        <v>1363</v>
      </c>
      <c r="P83" t="s">
        <v>1364</v>
      </c>
      <c r="Q83" t="s">
        <v>1365</v>
      </c>
      <c r="R83" t="s">
        <v>74</v>
      </c>
      <c r="S83" t="s">
        <v>74</v>
      </c>
      <c r="T83" t="s">
        <v>74</v>
      </c>
      <c r="U83" t="s">
        <v>74</v>
      </c>
      <c r="V83" t="s">
        <v>74</v>
      </c>
      <c r="W83" t="s">
        <v>1381</v>
      </c>
      <c r="X83" t="s">
        <v>1382</v>
      </c>
      <c r="Y83" t="s">
        <v>74</v>
      </c>
      <c r="Z83" t="s">
        <v>1383</v>
      </c>
      <c r="AA83" t="s">
        <v>1384</v>
      </c>
      <c r="AB83" t="s">
        <v>1385</v>
      </c>
      <c r="AC83" t="s">
        <v>74</v>
      </c>
      <c r="AD83" t="s">
        <v>74</v>
      </c>
      <c r="AE83" t="s">
        <v>74</v>
      </c>
      <c r="AF83" t="s">
        <v>74</v>
      </c>
      <c r="AG83">
        <v>0</v>
      </c>
      <c r="AH83">
        <v>0</v>
      </c>
      <c r="AI83">
        <v>0</v>
      </c>
      <c r="AJ83">
        <v>0</v>
      </c>
      <c r="AK83">
        <v>0</v>
      </c>
      <c r="AL83" t="s">
        <v>1370</v>
      </c>
      <c r="AM83" t="s">
        <v>1371</v>
      </c>
      <c r="AN83" t="s">
        <v>1372</v>
      </c>
      <c r="AO83" t="s">
        <v>1373</v>
      </c>
      <c r="AP83" t="s">
        <v>1374</v>
      </c>
      <c r="AQ83" t="s">
        <v>74</v>
      </c>
      <c r="AR83" t="s">
        <v>1375</v>
      </c>
      <c r="AS83" t="s">
        <v>1376</v>
      </c>
      <c r="AT83" t="s">
        <v>890</v>
      </c>
      <c r="AU83">
        <v>2004</v>
      </c>
      <c r="AV83">
        <v>44</v>
      </c>
      <c r="AW83">
        <v>6</v>
      </c>
      <c r="AX83" t="s">
        <v>74</v>
      </c>
      <c r="AY83" t="s">
        <v>74</v>
      </c>
      <c r="AZ83" t="s">
        <v>74</v>
      </c>
      <c r="BA83" t="s">
        <v>74</v>
      </c>
      <c r="BB83">
        <v>623</v>
      </c>
      <c r="BC83">
        <v>623</v>
      </c>
      <c r="BD83" t="s">
        <v>74</v>
      </c>
      <c r="BE83" t="s">
        <v>74</v>
      </c>
      <c r="BF83" t="s">
        <v>74</v>
      </c>
      <c r="BG83" t="s">
        <v>74</v>
      </c>
      <c r="BH83" t="s">
        <v>74</v>
      </c>
      <c r="BI83">
        <v>1</v>
      </c>
      <c r="BJ83" t="s">
        <v>205</v>
      </c>
      <c r="BK83" t="s">
        <v>1257</v>
      </c>
      <c r="BL83" t="s">
        <v>205</v>
      </c>
      <c r="BM83" t="s">
        <v>1377</v>
      </c>
      <c r="BN83" t="s">
        <v>74</v>
      </c>
      <c r="BO83" t="s">
        <v>74</v>
      </c>
      <c r="BP83" t="s">
        <v>74</v>
      </c>
      <c r="BQ83" t="s">
        <v>74</v>
      </c>
      <c r="BR83" t="s">
        <v>98</v>
      </c>
      <c r="BS83" t="s">
        <v>1386</v>
      </c>
      <c r="BT83" t="str">
        <f>HYPERLINK("https%3A%2F%2Fwww.webofscience.com%2Fwos%2Fwoscc%2Ffull-record%2FWOS:000226721400454","View Full Record in Web of Science")</f>
        <v>View Full Record in Web of Science</v>
      </c>
    </row>
    <row r="84" spans="1:72" x14ac:dyDescent="0.15">
      <c r="A84" t="s">
        <v>122</v>
      </c>
      <c r="B84" t="s">
        <v>1387</v>
      </c>
      <c r="C84" t="s">
        <v>74</v>
      </c>
      <c r="D84" t="s">
        <v>74</v>
      </c>
      <c r="E84" t="s">
        <v>74</v>
      </c>
      <c r="F84" t="s">
        <v>1387</v>
      </c>
      <c r="G84" t="s">
        <v>74</v>
      </c>
      <c r="H84" t="s">
        <v>74</v>
      </c>
      <c r="I84" t="s">
        <v>1388</v>
      </c>
      <c r="J84" t="s">
        <v>1362</v>
      </c>
      <c r="K84" t="s">
        <v>74</v>
      </c>
      <c r="L84" t="s">
        <v>74</v>
      </c>
      <c r="M84" t="s">
        <v>79</v>
      </c>
      <c r="N84" t="s">
        <v>52</v>
      </c>
      <c r="O84" t="s">
        <v>1363</v>
      </c>
      <c r="P84" t="s">
        <v>1364</v>
      </c>
      <c r="Q84" t="s">
        <v>1365</v>
      </c>
      <c r="R84" t="s">
        <v>74</v>
      </c>
      <c r="S84" t="s">
        <v>74</v>
      </c>
      <c r="T84" t="s">
        <v>74</v>
      </c>
      <c r="U84" t="s">
        <v>74</v>
      </c>
      <c r="V84" t="s">
        <v>74</v>
      </c>
      <c r="W84" t="s">
        <v>1389</v>
      </c>
      <c r="X84" t="s">
        <v>1390</v>
      </c>
      <c r="Y84" t="s">
        <v>74</v>
      </c>
      <c r="Z84" t="s">
        <v>1391</v>
      </c>
      <c r="AA84" t="s">
        <v>74</v>
      </c>
      <c r="AB84" t="s">
        <v>74</v>
      </c>
      <c r="AC84" t="s">
        <v>74</v>
      </c>
      <c r="AD84" t="s">
        <v>74</v>
      </c>
      <c r="AE84" t="s">
        <v>74</v>
      </c>
      <c r="AF84" t="s">
        <v>74</v>
      </c>
      <c r="AG84">
        <v>0</v>
      </c>
      <c r="AH84">
        <v>1</v>
      </c>
      <c r="AI84">
        <v>1</v>
      </c>
      <c r="AJ84">
        <v>0</v>
      </c>
      <c r="AK84">
        <v>5</v>
      </c>
      <c r="AL84" t="s">
        <v>1370</v>
      </c>
      <c r="AM84" t="s">
        <v>1371</v>
      </c>
      <c r="AN84" t="s">
        <v>1372</v>
      </c>
      <c r="AO84" t="s">
        <v>1373</v>
      </c>
      <c r="AP84" t="s">
        <v>1374</v>
      </c>
      <c r="AQ84" t="s">
        <v>74</v>
      </c>
      <c r="AR84" t="s">
        <v>1375</v>
      </c>
      <c r="AS84" t="s">
        <v>1376</v>
      </c>
      <c r="AT84" t="s">
        <v>890</v>
      </c>
      <c r="AU84">
        <v>2004</v>
      </c>
      <c r="AV84">
        <v>44</v>
      </c>
      <c r="AW84">
        <v>6</v>
      </c>
      <c r="AX84" t="s">
        <v>74</v>
      </c>
      <c r="AY84" t="s">
        <v>74</v>
      </c>
      <c r="AZ84" t="s">
        <v>74</v>
      </c>
      <c r="BA84" t="s">
        <v>74</v>
      </c>
      <c r="BB84">
        <v>653</v>
      </c>
      <c r="BC84">
        <v>653</v>
      </c>
      <c r="BD84" t="s">
        <v>74</v>
      </c>
      <c r="BE84" t="s">
        <v>74</v>
      </c>
      <c r="BF84" t="s">
        <v>74</v>
      </c>
      <c r="BG84" t="s">
        <v>74</v>
      </c>
      <c r="BH84" t="s">
        <v>74</v>
      </c>
      <c r="BI84">
        <v>1</v>
      </c>
      <c r="BJ84" t="s">
        <v>205</v>
      </c>
      <c r="BK84" t="s">
        <v>1257</v>
      </c>
      <c r="BL84" t="s">
        <v>205</v>
      </c>
      <c r="BM84" t="s">
        <v>1377</v>
      </c>
      <c r="BN84" t="s">
        <v>74</v>
      </c>
      <c r="BO84" t="s">
        <v>74</v>
      </c>
      <c r="BP84" t="s">
        <v>74</v>
      </c>
      <c r="BQ84" t="s">
        <v>74</v>
      </c>
      <c r="BR84" t="s">
        <v>98</v>
      </c>
      <c r="BS84" t="s">
        <v>1392</v>
      </c>
      <c r="BT84" t="str">
        <f>HYPERLINK("https%3A%2F%2Fwww.webofscience.com%2Fwos%2Fwoscc%2Ffull-record%2FWOS:000226721401115","View Full Record in Web of Science")</f>
        <v>View Full Record in Web of Science</v>
      </c>
    </row>
    <row r="85" spans="1:72" x14ac:dyDescent="0.15">
      <c r="A85" t="s">
        <v>122</v>
      </c>
      <c r="B85" t="s">
        <v>1393</v>
      </c>
      <c r="C85" t="s">
        <v>74</v>
      </c>
      <c r="D85" t="s">
        <v>74</v>
      </c>
      <c r="E85" t="s">
        <v>74</v>
      </c>
      <c r="F85" t="s">
        <v>1393</v>
      </c>
      <c r="G85" t="s">
        <v>74</v>
      </c>
      <c r="H85" t="s">
        <v>74</v>
      </c>
      <c r="I85" t="s">
        <v>1394</v>
      </c>
      <c r="J85" t="s">
        <v>1362</v>
      </c>
      <c r="K85" t="s">
        <v>74</v>
      </c>
      <c r="L85" t="s">
        <v>74</v>
      </c>
      <c r="M85" t="s">
        <v>79</v>
      </c>
      <c r="N85" t="s">
        <v>52</v>
      </c>
      <c r="O85" t="s">
        <v>1363</v>
      </c>
      <c r="P85" t="s">
        <v>1364</v>
      </c>
      <c r="Q85" t="s">
        <v>1365</v>
      </c>
      <c r="R85" t="s">
        <v>74</v>
      </c>
      <c r="S85" t="s">
        <v>74</v>
      </c>
      <c r="T85" t="s">
        <v>74</v>
      </c>
      <c r="U85" t="s">
        <v>74</v>
      </c>
      <c r="V85" t="s">
        <v>74</v>
      </c>
      <c r="W85" t="s">
        <v>74</v>
      </c>
      <c r="X85" t="s">
        <v>74</v>
      </c>
      <c r="Y85" t="s">
        <v>74</v>
      </c>
      <c r="Z85" t="s">
        <v>1395</v>
      </c>
      <c r="AA85" t="s">
        <v>1396</v>
      </c>
      <c r="AB85" t="s">
        <v>1397</v>
      </c>
      <c r="AC85" t="s">
        <v>74</v>
      </c>
      <c r="AD85" t="s">
        <v>74</v>
      </c>
      <c r="AE85" t="s">
        <v>74</v>
      </c>
      <c r="AF85" t="s">
        <v>74</v>
      </c>
      <c r="AG85">
        <v>0</v>
      </c>
      <c r="AH85">
        <v>1</v>
      </c>
      <c r="AI85">
        <v>1</v>
      </c>
      <c r="AJ85">
        <v>1</v>
      </c>
      <c r="AK85">
        <v>15</v>
      </c>
      <c r="AL85" t="s">
        <v>1370</v>
      </c>
      <c r="AM85" t="s">
        <v>1371</v>
      </c>
      <c r="AN85" t="s">
        <v>1372</v>
      </c>
      <c r="AO85" t="s">
        <v>1373</v>
      </c>
      <c r="AP85" t="s">
        <v>1374</v>
      </c>
      <c r="AQ85" t="s">
        <v>74</v>
      </c>
      <c r="AR85" t="s">
        <v>1375</v>
      </c>
      <c r="AS85" t="s">
        <v>1376</v>
      </c>
      <c r="AT85" t="s">
        <v>890</v>
      </c>
      <c r="AU85">
        <v>2004</v>
      </c>
      <c r="AV85">
        <v>44</v>
      </c>
      <c r="AW85">
        <v>6</v>
      </c>
      <c r="AX85" t="s">
        <v>74</v>
      </c>
      <c r="AY85" t="s">
        <v>74</v>
      </c>
      <c r="AZ85" t="s">
        <v>74</v>
      </c>
      <c r="BA85" t="s">
        <v>74</v>
      </c>
      <c r="BB85">
        <v>713</v>
      </c>
      <c r="BC85">
        <v>713</v>
      </c>
      <c r="BD85" t="s">
        <v>74</v>
      </c>
      <c r="BE85" t="s">
        <v>74</v>
      </c>
      <c r="BF85" t="s">
        <v>74</v>
      </c>
      <c r="BG85" t="s">
        <v>74</v>
      </c>
      <c r="BH85" t="s">
        <v>74</v>
      </c>
      <c r="BI85">
        <v>1</v>
      </c>
      <c r="BJ85" t="s">
        <v>205</v>
      </c>
      <c r="BK85" t="s">
        <v>1257</v>
      </c>
      <c r="BL85" t="s">
        <v>205</v>
      </c>
      <c r="BM85" t="s">
        <v>1377</v>
      </c>
      <c r="BN85" t="s">
        <v>74</v>
      </c>
      <c r="BO85" t="s">
        <v>74</v>
      </c>
      <c r="BP85" t="s">
        <v>74</v>
      </c>
      <c r="BQ85" t="s">
        <v>74</v>
      </c>
      <c r="BR85" t="s">
        <v>98</v>
      </c>
      <c r="BS85" t="s">
        <v>1398</v>
      </c>
      <c r="BT85" t="str">
        <f>HYPERLINK("https%3A%2F%2Fwww.webofscience.com%2Fwos%2Fwoscc%2Ffull-record%2FWOS:000226721401354","View Full Record in Web of Science")</f>
        <v>View Full Record in Web of Science</v>
      </c>
    </row>
    <row r="86" spans="1:72" x14ac:dyDescent="0.15">
      <c r="A86" t="s">
        <v>122</v>
      </c>
      <c r="B86" t="s">
        <v>1399</v>
      </c>
      <c r="C86" t="s">
        <v>74</v>
      </c>
      <c r="D86" t="s">
        <v>74</v>
      </c>
      <c r="E86" t="s">
        <v>74</v>
      </c>
      <c r="F86" t="s">
        <v>1399</v>
      </c>
      <c r="G86" t="s">
        <v>74</v>
      </c>
      <c r="H86" t="s">
        <v>74</v>
      </c>
      <c r="I86" t="s">
        <v>1400</v>
      </c>
      <c r="J86" t="s">
        <v>1362</v>
      </c>
      <c r="K86" t="s">
        <v>74</v>
      </c>
      <c r="L86" t="s">
        <v>74</v>
      </c>
      <c r="M86" t="s">
        <v>79</v>
      </c>
      <c r="N86" t="s">
        <v>52</v>
      </c>
      <c r="O86" t="s">
        <v>1363</v>
      </c>
      <c r="P86" t="s">
        <v>1364</v>
      </c>
      <c r="Q86" t="s">
        <v>1365</v>
      </c>
      <c r="R86" t="s">
        <v>74</v>
      </c>
      <c r="S86" t="s">
        <v>74</v>
      </c>
      <c r="T86" t="s">
        <v>74</v>
      </c>
      <c r="U86" t="s">
        <v>74</v>
      </c>
      <c r="V86" t="s">
        <v>74</v>
      </c>
      <c r="W86" t="s">
        <v>1401</v>
      </c>
      <c r="X86" t="s">
        <v>1402</v>
      </c>
      <c r="Y86" t="s">
        <v>74</v>
      </c>
      <c r="Z86" t="s">
        <v>1403</v>
      </c>
      <c r="AA86" t="s">
        <v>74</v>
      </c>
      <c r="AB86" t="s">
        <v>74</v>
      </c>
      <c r="AC86" t="s">
        <v>74</v>
      </c>
      <c r="AD86" t="s">
        <v>74</v>
      </c>
      <c r="AE86" t="s">
        <v>74</v>
      </c>
      <c r="AF86" t="s">
        <v>74</v>
      </c>
      <c r="AG86">
        <v>0</v>
      </c>
      <c r="AH86">
        <v>0</v>
      </c>
      <c r="AI86">
        <v>0</v>
      </c>
      <c r="AJ86">
        <v>0</v>
      </c>
      <c r="AK86">
        <v>1</v>
      </c>
      <c r="AL86" t="s">
        <v>1370</v>
      </c>
      <c r="AM86" t="s">
        <v>1371</v>
      </c>
      <c r="AN86" t="s">
        <v>1372</v>
      </c>
      <c r="AO86" t="s">
        <v>1373</v>
      </c>
      <c r="AP86" t="s">
        <v>1374</v>
      </c>
      <c r="AQ86" t="s">
        <v>74</v>
      </c>
      <c r="AR86" t="s">
        <v>1375</v>
      </c>
      <c r="AS86" t="s">
        <v>1376</v>
      </c>
      <c r="AT86" t="s">
        <v>890</v>
      </c>
      <c r="AU86">
        <v>2004</v>
      </c>
      <c r="AV86">
        <v>44</v>
      </c>
      <c r="AW86">
        <v>6</v>
      </c>
      <c r="AX86" t="s">
        <v>74</v>
      </c>
      <c r="AY86" t="s">
        <v>74</v>
      </c>
      <c r="AZ86" t="s">
        <v>74</v>
      </c>
      <c r="BA86" t="s">
        <v>74</v>
      </c>
      <c r="BB86">
        <v>721</v>
      </c>
      <c r="BC86">
        <v>721</v>
      </c>
      <c r="BD86" t="s">
        <v>74</v>
      </c>
      <c r="BE86" t="s">
        <v>74</v>
      </c>
      <c r="BF86" t="s">
        <v>74</v>
      </c>
      <c r="BG86" t="s">
        <v>74</v>
      </c>
      <c r="BH86" t="s">
        <v>74</v>
      </c>
      <c r="BI86">
        <v>1</v>
      </c>
      <c r="BJ86" t="s">
        <v>205</v>
      </c>
      <c r="BK86" t="s">
        <v>1257</v>
      </c>
      <c r="BL86" t="s">
        <v>205</v>
      </c>
      <c r="BM86" t="s">
        <v>1377</v>
      </c>
      <c r="BN86" t="s">
        <v>74</v>
      </c>
      <c r="BO86" t="s">
        <v>74</v>
      </c>
      <c r="BP86" t="s">
        <v>74</v>
      </c>
      <c r="BQ86" t="s">
        <v>74</v>
      </c>
      <c r="BR86" t="s">
        <v>98</v>
      </c>
      <c r="BS86" t="s">
        <v>1404</v>
      </c>
      <c r="BT86" t="str">
        <f>HYPERLINK("https%3A%2F%2Fwww.webofscience.com%2Fwos%2Fwoscc%2Ffull-record%2FWOS:000226721401383","View Full Record in Web of Science")</f>
        <v>View Full Record in Web of Science</v>
      </c>
    </row>
    <row r="87" spans="1:72" x14ac:dyDescent="0.15">
      <c r="A87" t="s">
        <v>122</v>
      </c>
      <c r="B87" t="s">
        <v>1405</v>
      </c>
      <c r="C87" t="s">
        <v>74</v>
      </c>
      <c r="D87" t="s">
        <v>74</v>
      </c>
      <c r="E87" t="s">
        <v>74</v>
      </c>
      <c r="F87" t="s">
        <v>1405</v>
      </c>
      <c r="G87" t="s">
        <v>74</v>
      </c>
      <c r="H87" t="s">
        <v>74</v>
      </c>
      <c r="I87" t="s">
        <v>1406</v>
      </c>
      <c r="J87" t="s">
        <v>1362</v>
      </c>
      <c r="K87" t="s">
        <v>74</v>
      </c>
      <c r="L87" t="s">
        <v>74</v>
      </c>
      <c r="M87" t="s">
        <v>79</v>
      </c>
      <c r="N87" t="s">
        <v>52</v>
      </c>
      <c r="O87" t="s">
        <v>1363</v>
      </c>
      <c r="P87" t="s">
        <v>1364</v>
      </c>
      <c r="Q87" t="s">
        <v>1365</v>
      </c>
      <c r="R87" t="s">
        <v>74</v>
      </c>
      <c r="S87" t="s">
        <v>74</v>
      </c>
      <c r="T87" t="s">
        <v>74</v>
      </c>
      <c r="U87" t="s">
        <v>74</v>
      </c>
      <c r="V87" t="s">
        <v>74</v>
      </c>
      <c r="W87" t="s">
        <v>1366</v>
      </c>
      <c r="X87" t="s">
        <v>1367</v>
      </c>
      <c r="Y87" t="s">
        <v>74</v>
      </c>
      <c r="Z87" t="s">
        <v>1407</v>
      </c>
      <c r="AA87" t="s">
        <v>1369</v>
      </c>
      <c r="AB87" t="s">
        <v>74</v>
      </c>
      <c r="AC87" t="s">
        <v>74</v>
      </c>
      <c r="AD87" t="s">
        <v>74</v>
      </c>
      <c r="AE87" t="s">
        <v>74</v>
      </c>
      <c r="AF87" t="s">
        <v>74</v>
      </c>
      <c r="AG87">
        <v>0</v>
      </c>
      <c r="AH87">
        <v>0</v>
      </c>
      <c r="AI87">
        <v>0</v>
      </c>
      <c r="AJ87">
        <v>0</v>
      </c>
      <c r="AK87">
        <v>2</v>
      </c>
      <c r="AL87" t="s">
        <v>1370</v>
      </c>
      <c r="AM87" t="s">
        <v>1371</v>
      </c>
      <c r="AN87" t="s">
        <v>1372</v>
      </c>
      <c r="AO87" t="s">
        <v>1373</v>
      </c>
      <c r="AP87" t="s">
        <v>1374</v>
      </c>
      <c r="AQ87" t="s">
        <v>74</v>
      </c>
      <c r="AR87" t="s">
        <v>1375</v>
      </c>
      <c r="AS87" t="s">
        <v>1376</v>
      </c>
      <c r="AT87" t="s">
        <v>890</v>
      </c>
      <c r="AU87">
        <v>2004</v>
      </c>
      <c r="AV87">
        <v>44</v>
      </c>
      <c r="AW87">
        <v>6</v>
      </c>
      <c r="AX87" t="s">
        <v>74</v>
      </c>
      <c r="AY87" t="s">
        <v>74</v>
      </c>
      <c r="AZ87" t="s">
        <v>74</v>
      </c>
      <c r="BA87" t="s">
        <v>74</v>
      </c>
      <c r="BB87">
        <v>726</v>
      </c>
      <c r="BC87">
        <v>726</v>
      </c>
      <c r="BD87" t="s">
        <v>74</v>
      </c>
      <c r="BE87" t="s">
        <v>74</v>
      </c>
      <c r="BF87" t="s">
        <v>74</v>
      </c>
      <c r="BG87" t="s">
        <v>74</v>
      </c>
      <c r="BH87" t="s">
        <v>74</v>
      </c>
      <c r="BI87">
        <v>1</v>
      </c>
      <c r="BJ87" t="s">
        <v>205</v>
      </c>
      <c r="BK87" t="s">
        <v>1257</v>
      </c>
      <c r="BL87" t="s">
        <v>205</v>
      </c>
      <c r="BM87" t="s">
        <v>1377</v>
      </c>
      <c r="BN87" t="s">
        <v>74</v>
      </c>
      <c r="BO87" t="s">
        <v>74</v>
      </c>
      <c r="BP87" t="s">
        <v>74</v>
      </c>
      <c r="BQ87" t="s">
        <v>74</v>
      </c>
      <c r="BR87" t="s">
        <v>98</v>
      </c>
      <c r="BS87" t="s">
        <v>1408</v>
      </c>
      <c r="BT87" t="str">
        <f>HYPERLINK("https%3A%2F%2Fwww.webofscience.com%2Fwos%2Fwoscc%2Ffull-record%2FWOS:000226721401404","View Full Record in Web of Science")</f>
        <v>View Full Record in Web of Science</v>
      </c>
    </row>
    <row r="88" spans="1:72" x14ac:dyDescent="0.15">
      <c r="A88" t="s">
        <v>122</v>
      </c>
      <c r="B88" t="s">
        <v>1409</v>
      </c>
      <c r="C88" t="s">
        <v>74</v>
      </c>
      <c r="D88" t="s">
        <v>74</v>
      </c>
      <c r="E88" t="s">
        <v>74</v>
      </c>
      <c r="F88" t="s">
        <v>1409</v>
      </c>
      <c r="G88" t="s">
        <v>74</v>
      </c>
      <c r="H88" t="s">
        <v>74</v>
      </c>
      <c r="I88" t="s">
        <v>1410</v>
      </c>
      <c r="J88" t="s">
        <v>1411</v>
      </c>
      <c r="K88" t="s">
        <v>74</v>
      </c>
      <c r="L88" t="s">
        <v>74</v>
      </c>
      <c r="M88" t="s">
        <v>79</v>
      </c>
      <c r="N88" t="s">
        <v>126</v>
      </c>
      <c r="O88" t="s">
        <v>74</v>
      </c>
      <c r="P88" t="s">
        <v>74</v>
      </c>
      <c r="Q88" t="s">
        <v>74</v>
      </c>
      <c r="R88" t="s">
        <v>74</v>
      </c>
      <c r="S88" t="s">
        <v>74</v>
      </c>
      <c r="T88" t="s">
        <v>1412</v>
      </c>
      <c r="U88" t="s">
        <v>1413</v>
      </c>
      <c r="V88" t="s">
        <v>1414</v>
      </c>
      <c r="W88" t="s">
        <v>1415</v>
      </c>
      <c r="X88" t="s">
        <v>353</v>
      </c>
      <c r="Y88" t="s">
        <v>354</v>
      </c>
      <c r="Z88" t="s">
        <v>1416</v>
      </c>
      <c r="AA88" t="s">
        <v>356</v>
      </c>
      <c r="AB88" t="s">
        <v>1417</v>
      </c>
      <c r="AC88" t="s">
        <v>74</v>
      </c>
      <c r="AD88" t="s">
        <v>74</v>
      </c>
      <c r="AE88" t="s">
        <v>74</v>
      </c>
      <c r="AF88" t="s">
        <v>74</v>
      </c>
      <c r="AG88">
        <v>26</v>
      </c>
      <c r="AH88">
        <v>54</v>
      </c>
      <c r="AI88">
        <v>56</v>
      </c>
      <c r="AJ88">
        <v>0</v>
      </c>
      <c r="AK88">
        <v>14</v>
      </c>
      <c r="AL88" t="s">
        <v>1418</v>
      </c>
      <c r="AM88" t="s">
        <v>1419</v>
      </c>
      <c r="AN88" t="s">
        <v>1420</v>
      </c>
      <c r="AO88" t="s">
        <v>1421</v>
      </c>
      <c r="AP88" t="s">
        <v>1422</v>
      </c>
      <c r="AQ88" t="s">
        <v>74</v>
      </c>
      <c r="AR88" t="s">
        <v>1423</v>
      </c>
      <c r="AS88" t="s">
        <v>1424</v>
      </c>
      <c r="AT88" t="s">
        <v>890</v>
      </c>
      <c r="AU88">
        <v>2004</v>
      </c>
      <c r="AV88">
        <v>24</v>
      </c>
      <c r="AW88">
        <v>15</v>
      </c>
      <c r="AX88" t="s">
        <v>74</v>
      </c>
      <c r="AY88" t="s">
        <v>74</v>
      </c>
      <c r="AZ88" t="s">
        <v>74</v>
      </c>
      <c r="BA88" t="s">
        <v>74</v>
      </c>
      <c r="BB88">
        <v>1973</v>
      </c>
      <c r="BC88">
        <v>1982</v>
      </c>
      <c r="BD88" t="s">
        <v>74</v>
      </c>
      <c r="BE88" t="s">
        <v>1425</v>
      </c>
      <c r="BF88" t="str">
        <f>HYPERLINK("http://dx.doi.org/10.1002/joc.1090","http://dx.doi.org/10.1002/joc.1090")</f>
        <v>http://dx.doi.org/10.1002/joc.1090</v>
      </c>
      <c r="BG88" t="s">
        <v>74</v>
      </c>
      <c r="BH88" t="s">
        <v>74</v>
      </c>
      <c r="BI88">
        <v>10</v>
      </c>
      <c r="BJ88" t="s">
        <v>291</v>
      </c>
      <c r="BK88" t="s">
        <v>139</v>
      </c>
      <c r="BL88" t="s">
        <v>291</v>
      </c>
      <c r="BM88" t="s">
        <v>1426</v>
      </c>
      <c r="BN88" t="s">
        <v>74</v>
      </c>
      <c r="BO88" t="s">
        <v>74</v>
      </c>
      <c r="BP88" t="s">
        <v>74</v>
      </c>
      <c r="BQ88" t="s">
        <v>74</v>
      </c>
      <c r="BR88" t="s">
        <v>98</v>
      </c>
      <c r="BS88" t="s">
        <v>1427</v>
      </c>
      <c r="BT88" t="str">
        <f>HYPERLINK("https%3A%2F%2Fwww.webofscience.com%2Fwos%2Fwoscc%2Ffull-record%2FWOS:000225914200008","View Full Record in Web of Science")</f>
        <v>View Full Record in Web of Science</v>
      </c>
    </row>
    <row r="89" spans="1:72" x14ac:dyDescent="0.15">
      <c r="A89" t="s">
        <v>122</v>
      </c>
      <c r="B89" t="s">
        <v>1428</v>
      </c>
      <c r="C89" t="s">
        <v>74</v>
      </c>
      <c r="D89" t="s">
        <v>74</v>
      </c>
      <c r="E89" t="s">
        <v>74</v>
      </c>
      <c r="F89" t="s">
        <v>1428</v>
      </c>
      <c r="G89" t="s">
        <v>74</v>
      </c>
      <c r="H89" t="s">
        <v>74</v>
      </c>
      <c r="I89" t="s">
        <v>1429</v>
      </c>
      <c r="J89" t="s">
        <v>1430</v>
      </c>
      <c r="K89" t="s">
        <v>74</v>
      </c>
      <c r="L89" t="s">
        <v>74</v>
      </c>
      <c r="M89" t="s">
        <v>79</v>
      </c>
      <c r="N89" t="s">
        <v>1129</v>
      </c>
      <c r="O89" t="s">
        <v>1431</v>
      </c>
      <c r="P89" t="s">
        <v>1432</v>
      </c>
      <c r="Q89" t="s">
        <v>1433</v>
      </c>
      <c r="R89" t="s">
        <v>74</v>
      </c>
      <c r="S89" t="s">
        <v>74</v>
      </c>
      <c r="T89" t="s">
        <v>1434</v>
      </c>
      <c r="U89" t="s">
        <v>1435</v>
      </c>
      <c r="V89" t="s">
        <v>1436</v>
      </c>
      <c r="W89" t="s">
        <v>1437</v>
      </c>
      <c r="X89" t="s">
        <v>1438</v>
      </c>
      <c r="Y89" t="s">
        <v>1439</v>
      </c>
      <c r="Z89" t="s">
        <v>1440</v>
      </c>
      <c r="AA89" t="s">
        <v>74</v>
      </c>
      <c r="AB89" t="s">
        <v>74</v>
      </c>
      <c r="AC89" t="s">
        <v>74</v>
      </c>
      <c r="AD89" t="s">
        <v>74</v>
      </c>
      <c r="AE89" t="s">
        <v>74</v>
      </c>
      <c r="AF89" t="s">
        <v>74</v>
      </c>
      <c r="AG89">
        <v>47</v>
      </c>
      <c r="AH89">
        <v>12</v>
      </c>
      <c r="AI89">
        <v>12</v>
      </c>
      <c r="AJ89">
        <v>0</v>
      </c>
      <c r="AK89">
        <v>18</v>
      </c>
      <c r="AL89" t="s">
        <v>1441</v>
      </c>
      <c r="AM89" t="s">
        <v>1442</v>
      </c>
      <c r="AN89" t="s">
        <v>1443</v>
      </c>
      <c r="AO89" t="s">
        <v>1444</v>
      </c>
      <c r="AP89" t="s">
        <v>74</v>
      </c>
      <c r="AQ89" t="s">
        <v>74</v>
      </c>
      <c r="AR89" t="s">
        <v>1445</v>
      </c>
      <c r="AS89" t="s">
        <v>1446</v>
      </c>
      <c r="AT89" t="s">
        <v>890</v>
      </c>
      <c r="AU89">
        <v>2004</v>
      </c>
      <c r="AV89">
        <v>46</v>
      </c>
      <c r="AW89" t="s">
        <v>1447</v>
      </c>
      <c r="AX89" t="s">
        <v>74</v>
      </c>
      <c r="AY89" t="s">
        <v>74</v>
      </c>
      <c r="AZ89" t="s">
        <v>74</v>
      </c>
      <c r="BA89" t="s">
        <v>74</v>
      </c>
      <c r="BB89">
        <v>139</v>
      </c>
      <c r="BC89">
        <v>148</v>
      </c>
      <c r="BD89" t="s">
        <v>74</v>
      </c>
      <c r="BE89" t="s">
        <v>1448</v>
      </c>
      <c r="BF89" t="str">
        <f>HYPERLINK("http://dx.doi.org/10.1080/07924259.2004.9652617","http://dx.doi.org/10.1080/07924259.2004.9652617")</f>
        <v>http://dx.doi.org/10.1080/07924259.2004.9652617</v>
      </c>
      <c r="BG89" t="s">
        <v>74</v>
      </c>
      <c r="BH89" t="s">
        <v>74</v>
      </c>
      <c r="BI89">
        <v>10</v>
      </c>
      <c r="BJ89" t="s">
        <v>1449</v>
      </c>
      <c r="BK89" t="s">
        <v>1150</v>
      </c>
      <c r="BL89" t="s">
        <v>1449</v>
      </c>
      <c r="BM89" t="s">
        <v>1450</v>
      </c>
      <c r="BN89" t="s">
        <v>74</v>
      </c>
      <c r="BO89" t="s">
        <v>74</v>
      </c>
      <c r="BP89" t="s">
        <v>74</v>
      </c>
      <c r="BQ89" t="s">
        <v>74</v>
      </c>
      <c r="BR89" t="s">
        <v>98</v>
      </c>
      <c r="BS89" t="s">
        <v>1451</v>
      </c>
      <c r="BT89" t="str">
        <f>HYPERLINK("https%3A%2F%2Fwww.webofscience.com%2Fwos%2Fwoscc%2Ffull-record%2FWOS:000229397300008","View Full Record in Web of Science")</f>
        <v>View Full Record in Web of Science</v>
      </c>
    </row>
    <row r="90" spans="1:72" x14ac:dyDescent="0.15">
      <c r="A90" t="s">
        <v>122</v>
      </c>
      <c r="B90" t="s">
        <v>1452</v>
      </c>
      <c r="C90" t="s">
        <v>74</v>
      </c>
      <c r="D90" t="s">
        <v>74</v>
      </c>
      <c r="E90" t="s">
        <v>74</v>
      </c>
      <c r="F90" t="s">
        <v>1452</v>
      </c>
      <c r="G90" t="s">
        <v>74</v>
      </c>
      <c r="H90" t="s">
        <v>74</v>
      </c>
      <c r="I90" t="s">
        <v>1453</v>
      </c>
      <c r="J90" t="s">
        <v>1454</v>
      </c>
      <c r="K90" t="s">
        <v>74</v>
      </c>
      <c r="L90" t="s">
        <v>74</v>
      </c>
      <c r="M90" t="s">
        <v>79</v>
      </c>
      <c r="N90" t="s">
        <v>1129</v>
      </c>
      <c r="O90" t="s">
        <v>1455</v>
      </c>
      <c r="P90">
        <v>2004</v>
      </c>
      <c r="Q90" t="s">
        <v>1456</v>
      </c>
      <c r="R90" t="s">
        <v>74</v>
      </c>
      <c r="S90" t="s">
        <v>74</v>
      </c>
      <c r="T90" t="s">
        <v>74</v>
      </c>
      <c r="U90" t="s">
        <v>1457</v>
      </c>
      <c r="V90" t="s">
        <v>1458</v>
      </c>
      <c r="W90" t="s">
        <v>1459</v>
      </c>
      <c r="X90" t="s">
        <v>1460</v>
      </c>
      <c r="Y90" t="s">
        <v>1461</v>
      </c>
      <c r="Z90" t="s">
        <v>1462</v>
      </c>
      <c r="AA90" t="s">
        <v>74</v>
      </c>
      <c r="AB90" t="s">
        <v>74</v>
      </c>
      <c r="AC90" t="s">
        <v>74</v>
      </c>
      <c r="AD90" t="s">
        <v>74</v>
      </c>
      <c r="AE90" t="s">
        <v>74</v>
      </c>
      <c r="AF90" t="s">
        <v>74</v>
      </c>
      <c r="AG90">
        <v>70</v>
      </c>
      <c r="AH90">
        <v>3</v>
      </c>
      <c r="AI90">
        <v>4</v>
      </c>
      <c r="AJ90">
        <v>0</v>
      </c>
      <c r="AK90">
        <v>19</v>
      </c>
      <c r="AL90" t="s">
        <v>1463</v>
      </c>
      <c r="AM90" t="s">
        <v>1464</v>
      </c>
      <c r="AN90" t="s">
        <v>1465</v>
      </c>
      <c r="AO90" t="s">
        <v>1466</v>
      </c>
      <c r="AP90" t="s">
        <v>74</v>
      </c>
      <c r="AQ90" t="s">
        <v>74</v>
      </c>
      <c r="AR90" t="s">
        <v>1467</v>
      </c>
      <c r="AS90" t="s">
        <v>1468</v>
      </c>
      <c r="AT90" t="s">
        <v>890</v>
      </c>
      <c r="AU90">
        <v>2004</v>
      </c>
      <c r="AV90">
        <v>121</v>
      </c>
      <c r="AW90" t="s">
        <v>74</v>
      </c>
      <c r="AX90" t="s">
        <v>74</v>
      </c>
      <c r="AY90" t="s">
        <v>74</v>
      </c>
      <c r="AZ90" t="s">
        <v>74</v>
      </c>
      <c r="BA90" t="s">
        <v>74</v>
      </c>
      <c r="BB90">
        <v>195</v>
      </c>
      <c r="BC90">
        <v>208</v>
      </c>
      <c r="BD90" t="s">
        <v>74</v>
      </c>
      <c r="BE90" t="s">
        <v>1469</v>
      </c>
      <c r="BF90" t="str">
        <f>HYPERLINK("http://dx.doi.org/10.1051/jp4:2004121013","http://dx.doi.org/10.1051/jp4:2004121013")</f>
        <v>http://dx.doi.org/10.1051/jp4:2004121013</v>
      </c>
      <c r="BG90" t="s">
        <v>74</v>
      </c>
      <c r="BH90" t="s">
        <v>74</v>
      </c>
      <c r="BI90">
        <v>14</v>
      </c>
      <c r="BJ90" t="s">
        <v>1470</v>
      </c>
      <c r="BK90" t="s">
        <v>1150</v>
      </c>
      <c r="BL90" t="s">
        <v>1471</v>
      </c>
      <c r="BM90" t="s">
        <v>1472</v>
      </c>
      <c r="BN90" t="s">
        <v>74</v>
      </c>
      <c r="BO90" t="s">
        <v>988</v>
      </c>
      <c r="BP90" t="s">
        <v>74</v>
      </c>
      <c r="BQ90" t="s">
        <v>74</v>
      </c>
      <c r="BR90" t="s">
        <v>98</v>
      </c>
      <c r="BS90" t="s">
        <v>1473</v>
      </c>
      <c r="BT90" t="str">
        <f>HYPERLINK("https%3A%2F%2Fwww.webofscience.com%2Fwos%2Fwoscc%2Ffull-record%2FWOS:000226640000014","View Full Record in Web of Science")</f>
        <v>View Full Record in Web of Science</v>
      </c>
    </row>
    <row r="91" spans="1:72" x14ac:dyDescent="0.15">
      <c r="A91" t="s">
        <v>122</v>
      </c>
      <c r="B91" t="s">
        <v>1474</v>
      </c>
      <c r="C91" t="s">
        <v>74</v>
      </c>
      <c r="D91" t="s">
        <v>74</v>
      </c>
      <c r="E91" t="s">
        <v>74</v>
      </c>
      <c r="F91" t="s">
        <v>1474</v>
      </c>
      <c r="G91" t="s">
        <v>74</v>
      </c>
      <c r="H91" t="s">
        <v>74</v>
      </c>
      <c r="I91" t="s">
        <v>1475</v>
      </c>
      <c r="J91" t="s">
        <v>1476</v>
      </c>
      <c r="K91" t="s">
        <v>74</v>
      </c>
      <c r="L91" t="s">
        <v>74</v>
      </c>
      <c r="M91" t="s">
        <v>79</v>
      </c>
      <c r="N91" t="s">
        <v>126</v>
      </c>
      <c r="O91" t="s">
        <v>74</v>
      </c>
      <c r="P91" t="s">
        <v>74</v>
      </c>
      <c r="Q91" t="s">
        <v>74</v>
      </c>
      <c r="R91" t="s">
        <v>74</v>
      </c>
      <c r="S91" t="s">
        <v>74</v>
      </c>
      <c r="T91" t="s">
        <v>1477</v>
      </c>
      <c r="U91" t="s">
        <v>1478</v>
      </c>
      <c r="V91" t="s">
        <v>1479</v>
      </c>
      <c r="W91" t="s">
        <v>1480</v>
      </c>
      <c r="X91" t="s">
        <v>1481</v>
      </c>
      <c r="Y91" t="s">
        <v>1482</v>
      </c>
      <c r="Z91" t="s">
        <v>1483</v>
      </c>
      <c r="AA91" t="s">
        <v>1484</v>
      </c>
      <c r="AB91" t="s">
        <v>1485</v>
      </c>
      <c r="AC91" t="s">
        <v>74</v>
      </c>
      <c r="AD91" t="s">
        <v>74</v>
      </c>
      <c r="AE91" t="s">
        <v>74</v>
      </c>
      <c r="AF91" t="s">
        <v>74</v>
      </c>
      <c r="AG91">
        <v>48</v>
      </c>
      <c r="AH91">
        <v>42</v>
      </c>
      <c r="AI91">
        <v>48</v>
      </c>
      <c r="AJ91">
        <v>1</v>
      </c>
      <c r="AK91">
        <v>31</v>
      </c>
      <c r="AL91" t="s">
        <v>1418</v>
      </c>
      <c r="AM91" t="s">
        <v>1419</v>
      </c>
      <c r="AN91" t="s">
        <v>1420</v>
      </c>
      <c r="AO91" t="s">
        <v>1486</v>
      </c>
      <c r="AP91" t="s">
        <v>1487</v>
      </c>
      <c r="AQ91" t="s">
        <v>74</v>
      </c>
      <c r="AR91" t="s">
        <v>1488</v>
      </c>
      <c r="AS91" t="s">
        <v>1489</v>
      </c>
      <c r="AT91" t="s">
        <v>890</v>
      </c>
      <c r="AU91">
        <v>2004</v>
      </c>
      <c r="AV91">
        <v>41</v>
      </c>
      <c r="AW91">
        <v>6</v>
      </c>
      <c r="AX91" t="s">
        <v>74</v>
      </c>
      <c r="AY91" t="s">
        <v>74</v>
      </c>
      <c r="AZ91" t="s">
        <v>74</v>
      </c>
      <c r="BA91" t="s">
        <v>74</v>
      </c>
      <c r="BB91">
        <v>1117</v>
      </c>
      <c r="BC91">
        <v>1128</v>
      </c>
      <c r="BD91" t="s">
        <v>74</v>
      </c>
      <c r="BE91" t="s">
        <v>1490</v>
      </c>
      <c r="BF91" t="str">
        <f>HYPERLINK("http://dx.doi.org/10.1111/j.0021-8901.2004.00974.x","http://dx.doi.org/10.1111/j.0021-8901.2004.00974.x")</f>
        <v>http://dx.doi.org/10.1111/j.0021-8901.2004.00974.x</v>
      </c>
      <c r="BG91" t="s">
        <v>74</v>
      </c>
      <c r="BH91" t="s">
        <v>74</v>
      </c>
      <c r="BI91">
        <v>12</v>
      </c>
      <c r="BJ91" t="s">
        <v>1491</v>
      </c>
      <c r="BK91" t="s">
        <v>139</v>
      </c>
      <c r="BL91" t="s">
        <v>1337</v>
      </c>
      <c r="BM91" t="s">
        <v>1492</v>
      </c>
      <c r="BN91" t="s">
        <v>74</v>
      </c>
      <c r="BO91" t="s">
        <v>273</v>
      </c>
      <c r="BP91" t="s">
        <v>74</v>
      </c>
      <c r="BQ91" t="s">
        <v>74</v>
      </c>
      <c r="BR91" t="s">
        <v>98</v>
      </c>
      <c r="BS91" t="s">
        <v>1493</v>
      </c>
      <c r="BT91" t="str">
        <f>HYPERLINK("https%3A%2F%2Fwww.webofscience.com%2Fwos%2Fwoscc%2Ffull-record%2FWOS:000225632800010","View Full Record in Web of Science")</f>
        <v>View Full Record in Web of Science</v>
      </c>
    </row>
    <row r="92" spans="1:72" x14ac:dyDescent="0.15">
      <c r="A92" t="s">
        <v>122</v>
      </c>
      <c r="B92" t="s">
        <v>1494</v>
      </c>
      <c r="C92" t="s">
        <v>74</v>
      </c>
      <c r="D92" t="s">
        <v>74</v>
      </c>
      <c r="E92" t="s">
        <v>74</v>
      </c>
      <c r="F92" t="s">
        <v>1494</v>
      </c>
      <c r="G92" t="s">
        <v>74</v>
      </c>
      <c r="H92" t="s">
        <v>74</v>
      </c>
      <c r="I92" t="s">
        <v>1495</v>
      </c>
      <c r="J92" t="s">
        <v>1496</v>
      </c>
      <c r="K92" t="s">
        <v>74</v>
      </c>
      <c r="L92" t="s">
        <v>74</v>
      </c>
      <c r="M92" t="s">
        <v>79</v>
      </c>
      <c r="N92" t="s">
        <v>1129</v>
      </c>
      <c r="O92" t="s">
        <v>1497</v>
      </c>
      <c r="P92" t="s">
        <v>1498</v>
      </c>
      <c r="Q92" t="s">
        <v>1499</v>
      </c>
      <c r="R92" t="s">
        <v>74</v>
      </c>
      <c r="S92" t="s">
        <v>74</v>
      </c>
      <c r="T92" t="s">
        <v>1500</v>
      </c>
      <c r="U92" t="s">
        <v>1501</v>
      </c>
      <c r="V92" t="s">
        <v>1502</v>
      </c>
      <c r="W92" t="s">
        <v>1503</v>
      </c>
      <c r="X92" t="s">
        <v>1504</v>
      </c>
      <c r="Y92" t="s">
        <v>1505</v>
      </c>
      <c r="Z92" t="s">
        <v>1506</v>
      </c>
      <c r="AA92" t="s">
        <v>1507</v>
      </c>
      <c r="AB92" t="s">
        <v>1508</v>
      </c>
      <c r="AC92" t="s">
        <v>74</v>
      </c>
      <c r="AD92" t="s">
        <v>74</v>
      </c>
      <c r="AE92" t="s">
        <v>74</v>
      </c>
      <c r="AF92" t="s">
        <v>74</v>
      </c>
      <c r="AG92">
        <v>27</v>
      </c>
      <c r="AH92">
        <v>111</v>
      </c>
      <c r="AI92">
        <v>132</v>
      </c>
      <c r="AJ92">
        <v>3</v>
      </c>
      <c r="AK92">
        <v>64</v>
      </c>
      <c r="AL92" t="s">
        <v>1509</v>
      </c>
      <c r="AM92" t="s">
        <v>1510</v>
      </c>
      <c r="AN92" t="s">
        <v>1511</v>
      </c>
      <c r="AO92" t="s">
        <v>1512</v>
      </c>
      <c r="AP92" t="s">
        <v>1513</v>
      </c>
      <c r="AQ92" t="s">
        <v>74</v>
      </c>
      <c r="AR92" t="s">
        <v>1514</v>
      </c>
      <c r="AS92" t="s">
        <v>1515</v>
      </c>
      <c r="AT92" t="s">
        <v>890</v>
      </c>
      <c r="AU92">
        <v>2004</v>
      </c>
      <c r="AV92">
        <v>16</v>
      </c>
      <c r="AW92">
        <v>6</v>
      </c>
      <c r="AX92" t="s">
        <v>74</v>
      </c>
      <c r="AY92" t="s">
        <v>74</v>
      </c>
      <c r="AZ92" t="s">
        <v>74</v>
      </c>
      <c r="BA92" t="s">
        <v>74</v>
      </c>
      <c r="BB92">
        <v>421</v>
      </c>
      <c r="BC92">
        <v>430</v>
      </c>
      <c r="BD92" t="s">
        <v>74</v>
      </c>
      <c r="BE92" t="s">
        <v>1516</v>
      </c>
      <c r="BF92" t="str">
        <f>HYPERLINK("http://dx.doi.org/10.1007/s10811-004-5502-3","http://dx.doi.org/10.1007/s10811-004-5502-3")</f>
        <v>http://dx.doi.org/10.1007/s10811-004-5502-3</v>
      </c>
      <c r="BG92" t="s">
        <v>74</v>
      </c>
      <c r="BH92" t="s">
        <v>74</v>
      </c>
      <c r="BI92">
        <v>10</v>
      </c>
      <c r="BJ92" t="s">
        <v>1517</v>
      </c>
      <c r="BK92" t="s">
        <v>1257</v>
      </c>
      <c r="BL92" t="s">
        <v>1517</v>
      </c>
      <c r="BM92" t="s">
        <v>1518</v>
      </c>
      <c r="BN92" t="s">
        <v>74</v>
      </c>
      <c r="BO92" t="s">
        <v>74</v>
      </c>
      <c r="BP92" t="s">
        <v>74</v>
      </c>
      <c r="BQ92" t="s">
        <v>74</v>
      </c>
      <c r="BR92" t="s">
        <v>98</v>
      </c>
      <c r="BS92" t="s">
        <v>1519</v>
      </c>
      <c r="BT92" t="str">
        <f>HYPERLINK("https%3A%2F%2Fwww.webofscience.com%2Fwos%2Fwoscc%2Ffull-record%2FWOS:000230724000002","View Full Record in Web of Science")</f>
        <v>View Full Record in Web of Science</v>
      </c>
    </row>
    <row r="93" spans="1:72" x14ac:dyDescent="0.15">
      <c r="A93" t="s">
        <v>122</v>
      </c>
      <c r="B93" t="s">
        <v>1520</v>
      </c>
      <c r="C93" t="s">
        <v>74</v>
      </c>
      <c r="D93" t="s">
        <v>74</v>
      </c>
      <c r="E93" t="s">
        <v>74</v>
      </c>
      <c r="F93" t="s">
        <v>1520</v>
      </c>
      <c r="G93" t="s">
        <v>74</v>
      </c>
      <c r="H93" t="s">
        <v>74</v>
      </c>
      <c r="I93" t="s">
        <v>1521</v>
      </c>
      <c r="J93" t="s">
        <v>1522</v>
      </c>
      <c r="K93" t="s">
        <v>74</v>
      </c>
      <c r="L93" t="s">
        <v>74</v>
      </c>
      <c r="M93" t="s">
        <v>79</v>
      </c>
      <c r="N93" t="s">
        <v>126</v>
      </c>
      <c r="O93" t="s">
        <v>74</v>
      </c>
      <c r="P93" t="s">
        <v>74</v>
      </c>
      <c r="Q93" t="s">
        <v>74</v>
      </c>
      <c r="R93" t="s">
        <v>74</v>
      </c>
      <c r="S93" t="s">
        <v>74</v>
      </c>
      <c r="T93" t="s">
        <v>74</v>
      </c>
      <c r="U93" t="s">
        <v>1523</v>
      </c>
      <c r="V93" t="s">
        <v>1524</v>
      </c>
      <c r="W93" t="s">
        <v>1525</v>
      </c>
      <c r="X93" t="s">
        <v>1526</v>
      </c>
      <c r="Y93" t="s">
        <v>1527</v>
      </c>
      <c r="Z93" t="s">
        <v>1528</v>
      </c>
      <c r="AA93" t="s">
        <v>1529</v>
      </c>
      <c r="AB93" t="s">
        <v>1530</v>
      </c>
      <c r="AC93" t="s">
        <v>74</v>
      </c>
      <c r="AD93" t="s">
        <v>74</v>
      </c>
      <c r="AE93" t="s">
        <v>74</v>
      </c>
      <c r="AF93" t="s">
        <v>74</v>
      </c>
      <c r="AG93">
        <v>39</v>
      </c>
      <c r="AH93">
        <v>113</v>
      </c>
      <c r="AI93">
        <v>128</v>
      </c>
      <c r="AJ93">
        <v>2</v>
      </c>
      <c r="AK93">
        <v>38</v>
      </c>
      <c r="AL93" t="s">
        <v>1116</v>
      </c>
      <c r="AM93" t="s">
        <v>240</v>
      </c>
      <c r="AN93" t="s">
        <v>1117</v>
      </c>
      <c r="AO93" t="s">
        <v>1531</v>
      </c>
      <c r="AP93" t="s">
        <v>1532</v>
      </c>
      <c r="AQ93" t="s">
        <v>74</v>
      </c>
      <c r="AR93" t="s">
        <v>1533</v>
      </c>
      <c r="AS93" t="s">
        <v>1534</v>
      </c>
      <c r="AT93" t="s">
        <v>890</v>
      </c>
      <c r="AU93">
        <v>2004</v>
      </c>
      <c r="AV93">
        <v>186</v>
      </c>
      <c r="AW93">
        <v>24</v>
      </c>
      <c r="AX93" t="s">
        <v>74</v>
      </c>
      <c r="AY93" t="s">
        <v>74</v>
      </c>
      <c r="AZ93" t="s">
        <v>74</v>
      </c>
      <c r="BA93" t="s">
        <v>74</v>
      </c>
      <c r="BB93">
        <v>8508</v>
      </c>
      <c r="BC93">
        <v>8515</v>
      </c>
      <c r="BD93" t="s">
        <v>74</v>
      </c>
      <c r="BE93" t="s">
        <v>1535</v>
      </c>
      <c r="BF93" t="str">
        <f>HYPERLINK("http://dx.doi.org/10.1128/JB.186.24.8508-8515.2004","http://dx.doi.org/10.1128/JB.186.24.8508-8515.2004")</f>
        <v>http://dx.doi.org/10.1128/JB.186.24.8508-8515.2004</v>
      </c>
      <c r="BG93" t="s">
        <v>74</v>
      </c>
      <c r="BH93" t="s">
        <v>74</v>
      </c>
      <c r="BI93">
        <v>8</v>
      </c>
      <c r="BJ93" t="s">
        <v>1536</v>
      </c>
      <c r="BK93" t="s">
        <v>139</v>
      </c>
      <c r="BL93" t="s">
        <v>1536</v>
      </c>
      <c r="BM93" t="s">
        <v>1537</v>
      </c>
      <c r="BN93">
        <v>15576801</v>
      </c>
      <c r="BO93" t="s">
        <v>329</v>
      </c>
      <c r="BP93" t="s">
        <v>74</v>
      </c>
      <c r="BQ93" t="s">
        <v>74</v>
      </c>
      <c r="BR93" t="s">
        <v>98</v>
      </c>
      <c r="BS93" t="s">
        <v>1538</v>
      </c>
      <c r="BT93" t="str">
        <f>HYPERLINK("https%3A%2F%2Fwww.webofscience.com%2Fwos%2Fwoscc%2Ffull-record%2FWOS:000225670300039","View Full Record in Web of Science")</f>
        <v>View Full Record in Web of Science</v>
      </c>
    </row>
    <row r="94" spans="1:72" x14ac:dyDescent="0.15">
      <c r="A94" t="s">
        <v>122</v>
      </c>
      <c r="B94" t="s">
        <v>1539</v>
      </c>
      <c r="C94" t="s">
        <v>74</v>
      </c>
      <c r="D94" t="s">
        <v>74</v>
      </c>
      <c r="E94" t="s">
        <v>74</v>
      </c>
      <c r="F94" t="s">
        <v>1539</v>
      </c>
      <c r="G94" t="s">
        <v>74</v>
      </c>
      <c r="H94" t="s">
        <v>74</v>
      </c>
      <c r="I94" t="s">
        <v>1540</v>
      </c>
      <c r="J94" t="s">
        <v>1541</v>
      </c>
      <c r="K94" t="s">
        <v>74</v>
      </c>
      <c r="L94" t="s">
        <v>74</v>
      </c>
      <c r="M94" t="s">
        <v>79</v>
      </c>
      <c r="N94" t="s">
        <v>126</v>
      </c>
      <c r="O94" t="s">
        <v>74</v>
      </c>
      <c r="P94" t="s">
        <v>74</v>
      </c>
      <c r="Q94" t="s">
        <v>74</v>
      </c>
      <c r="R94" t="s">
        <v>74</v>
      </c>
      <c r="S94" t="s">
        <v>74</v>
      </c>
      <c r="T94" t="s">
        <v>1542</v>
      </c>
      <c r="U94" t="s">
        <v>1543</v>
      </c>
      <c r="V94" t="s">
        <v>1544</v>
      </c>
      <c r="W94" t="s">
        <v>1545</v>
      </c>
      <c r="X94" t="s">
        <v>1546</v>
      </c>
      <c r="Y94" t="s">
        <v>1547</v>
      </c>
      <c r="Z94" t="s">
        <v>1548</v>
      </c>
      <c r="AA94" t="s">
        <v>1549</v>
      </c>
      <c r="AB94" t="s">
        <v>1550</v>
      </c>
      <c r="AC94" t="s">
        <v>74</v>
      </c>
      <c r="AD94" t="s">
        <v>74</v>
      </c>
      <c r="AE94" t="s">
        <v>74</v>
      </c>
      <c r="AF94" t="s">
        <v>74</v>
      </c>
      <c r="AG94">
        <v>91</v>
      </c>
      <c r="AH94">
        <v>22</v>
      </c>
      <c r="AI94">
        <v>23</v>
      </c>
      <c r="AJ94">
        <v>1</v>
      </c>
      <c r="AK94">
        <v>8</v>
      </c>
      <c r="AL94" t="s">
        <v>1418</v>
      </c>
      <c r="AM94" t="s">
        <v>1419</v>
      </c>
      <c r="AN94" t="s">
        <v>1420</v>
      </c>
      <c r="AO94" t="s">
        <v>1551</v>
      </c>
      <c r="AP94" t="s">
        <v>1552</v>
      </c>
      <c r="AQ94" t="s">
        <v>74</v>
      </c>
      <c r="AR94" t="s">
        <v>1553</v>
      </c>
      <c r="AS94" t="s">
        <v>1554</v>
      </c>
      <c r="AT94" t="s">
        <v>890</v>
      </c>
      <c r="AU94">
        <v>2004</v>
      </c>
      <c r="AV94">
        <v>31</v>
      </c>
      <c r="AW94">
        <v>12</v>
      </c>
      <c r="AX94" t="s">
        <v>74</v>
      </c>
      <c r="AY94" t="s">
        <v>74</v>
      </c>
      <c r="AZ94" t="s">
        <v>74</v>
      </c>
      <c r="BA94" t="s">
        <v>74</v>
      </c>
      <c r="BB94">
        <v>1987</v>
      </c>
      <c r="BC94">
        <v>2009</v>
      </c>
      <c r="BD94" t="s">
        <v>74</v>
      </c>
      <c r="BE94" t="s">
        <v>1555</v>
      </c>
      <c r="BF94" t="str">
        <f>HYPERLINK("http://dx.doi.org/10.1111/j.1365-2699.2004.01144.x","http://dx.doi.org/10.1111/j.1365-2699.2004.01144.x")</f>
        <v>http://dx.doi.org/10.1111/j.1365-2699.2004.01144.x</v>
      </c>
      <c r="BG94" t="s">
        <v>74</v>
      </c>
      <c r="BH94" t="s">
        <v>74</v>
      </c>
      <c r="BI94">
        <v>23</v>
      </c>
      <c r="BJ94" t="s">
        <v>1556</v>
      </c>
      <c r="BK94" t="s">
        <v>139</v>
      </c>
      <c r="BL94" t="s">
        <v>1557</v>
      </c>
      <c r="BM94" t="s">
        <v>1558</v>
      </c>
      <c r="BN94" t="s">
        <v>74</v>
      </c>
      <c r="BO94" t="s">
        <v>74</v>
      </c>
      <c r="BP94" t="s">
        <v>74</v>
      </c>
      <c r="BQ94" t="s">
        <v>74</v>
      </c>
      <c r="BR94" t="s">
        <v>98</v>
      </c>
      <c r="BS94" t="s">
        <v>1559</v>
      </c>
      <c r="BT94" t="str">
        <f>HYPERLINK("https%3A%2F%2Fwww.webofscience.com%2Fwos%2Fwoscc%2Ffull-record%2FWOS:000225356000010","View Full Record in Web of Science")</f>
        <v>View Full Record in Web of Science</v>
      </c>
    </row>
    <row r="95" spans="1:72" x14ac:dyDescent="0.15">
      <c r="A95" t="s">
        <v>122</v>
      </c>
      <c r="B95" t="s">
        <v>1560</v>
      </c>
      <c r="C95" t="s">
        <v>74</v>
      </c>
      <c r="D95" t="s">
        <v>74</v>
      </c>
      <c r="E95" t="s">
        <v>74</v>
      </c>
      <c r="F95" t="s">
        <v>1560</v>
      </c>
      <c r="G95" t="s">
        <v>74</v>
      </c>
      <c r="H95" t="s">
        <v>74</v>
      </c>
      <c r="I95" t="s">
        <v>1561</v>
      </c>
      <c r="J95" t="s">
        <v>1562</v>
      </c>
      <c r="K95" t="s">
        <v>74</v>
      </c>
      <c r="L95" t="s">
        <v>74</v>
      </c>
      <c r="M95" t="s">
        <v>79</v>
      </c>
      <c r="N95" t="s">
        <v>126</v>
      </c>
      <c r="O95" t="s">
        <v>74</v>
      </c>
      <c r="P95" t="s">
        <v>74</v>
      </c>
      <c r="Q95" t="s">
        <v>74</v>
      </c>
      <c r="R95" t="s">
        <v>74</v>
      </c>
      <c r="S95" t="s">
        <v>74</v>
      </c>
      <c r="T95" t="s">
        <v>74</v>
      </c>
      <c r="U95" t="s">
        <v>1563</v>
      </c>
      <c r="V95" t="s">
        <v>1564</v>
      </c>
      <c r="W95" t="s">
        <v>1565</v>
      </c>
      <c r="X95" t="s">
        <v>1566</v>
      </c>
      <c r="Y95" t="s">
        <v>1567</v>
      </c>
      <c r="Z95" t="s">
        <v>1568</v>
      </c>
      <c r="AA95" t="s">
        <v>1569</v>
      </c>
      <c r="AB95" t="s">
        <v>1570</v>
      </c>
      <c r="AC95" t="s">
        <v>74</v>
      </c>
      <c r="AD95" t="s">
        <v>74</v>
      </c>
      <c r="AE95" t="s">
        <v>74</v>
      </c>
      <c r="AF95" t="s">
        <v>74</v>
      </c>
      <c r="AG95">
        <v>75</v>
      </c>
      <c r="AH95">
        <v>140</v>
      </c>
      <c r="AI95">
        <v>163</v>
      </c>
      <c r="AJ95">
        <v>0</v>
      </c>
      <c r="AK95">
        <v>31</v>
      </c>
      <c r="AL95" t="s">
        <v>1571</v>
      </c>
      <c r="AM95" t="s">
        <v>1572</v>
      </c>
      <c r="AN95" t="s">
        <v>1573</v>
      </c>
      <c r="AO95" t="s">
        <v>1574</v>
      </c>
      <c r="AP95" t="s">
        <v>1575</v>
      </c>
      <c r="AQ95" t="s">
        <v>74</v>
      </c>
      <c r="AR95" t="s">
        <v>1576</v>
      </c>
      <c r="AS95" t="s">
        <v>1577</v>
      </c>
      <c r="AT95" t="s">
        <v>890</v>
      </c>
      <c r="AU95">
        <v>2004</v>
      </c>
      <c r="AV95">
        <v>17</v>
      </c>
      <c r="AW95">
        <v>23</v>
      </c>
      <c r="AX95" t="s">
        <v>74</v>
      </c>
      <c r="AY95" t="s">
        <v>74</v>
      </c>
      <c r="AZ95" t="s">
        <v>74</v>
      </c>
      <c r="BA95" t="s">
        <v>74</v>
      </c>
      <c r="BB95">
        <v>4485</v>
      </c>
      <c r="BC95">
        <v>4497</v>
      </c>
      <c r="BD95" t="s">
        <v>74</v>
      </c>
      <c r="BE95" t="s">
        <v>1578</v>
      </c>
      <c r="BF95" t="str">
        <f>HYPERLINK("http://dx.doi.org/10.1175/JCLI-3224.1","http://dx.doi.org/10.1175/JCLI-3224.1")</f>
        <v>http://dx.doi.org/10.1175/JCLI-3224.1</v>
      </c>
      <c r="BG95" t="s">
        <v>74</v>
      </c>
      <c r="BH95" t="s">
        <v>74</v>
      </c>
      <c r="BI95">
        <v>13</v>
      </c>
      <c r="BJ95" t="s">
        <v>291</v>
      </c>
      <c r="BK95" t="s">
        <v>139</v>
      </c>
      <c r="BL95" t="s">
        <v>291</v>
      </c>
      <c r="BM95" t="s">
        <v>1579</v>
      </c>
      <c r="BN95" t="s">
        <v>74</v>
      </c>
      <c r="BO95" t="s">
        <v>74</v>
      </c>
      <c r="BP95" t="s">
        <v>74</v>
      </c>
      <c r="BQ95" t="s">
        <v>74</v>
      </c>
      <c r="BR95" t="s">
        <v>98</v>
      </c>
      <c r="BS95" t="s">
        <v>1580</v>
      </c>
      <c r="BT95" t="str">
        <f>HYPERLINK("https%3A%2F%2Fwww.webofscience.com%2Fwos%2Fwoscc%2Ffull-record%2FWOS:000225501400001","View Full Record in Web of Science")</f>
        <v>View Full Record in Web of Science</v>
      </c>
    </row>
    <row r="96" spans="1:72" x14ac:dyDescent="0.15">
      <c r="A96" t="s">
        <v>122</v>
      </c>
      <c r="B96" t="s">
        <v>1581</v>
      </c>
      <c r="C96" t="s">
        <v>74</v>
      </c>
      <c r="D96" t="s">
        <v>74</v>
      </c>
      <c r="E96" t="s">
        <v>74</v>
      </c>
      <c r="F96" t="s">
        <v>1581</v>
      </c>
      <c r="G96" t="s">
        <v>74</v>
      </c>
      <c r="H96" t="s">
        <v>74</v>
      </c>
      <c r="I96" t="s">
        <v>1582</v>
      </c>
      <c r="J96" t="s">
        <v>1562</v>
      </c>
      <c r="K96" t="s">
        <v>74</v>
      </c>
      <c r="L96" t="s">
        <v>74</v>
      </c>
      <c r="M96" t="s">
        <v>79</v>
      </c>
      <c r="N96" t="s">
        <v>126</v>
      </c>
      <c r="O96" t="s">
        <v>74</v>
      </c>
      <c r="P96" t="s">
        <v>74</v>
      </c>
      <c r="Q96" t="s">
        <v>74</v>
      </c>
      <c r="R96" t="s">
        <v>74</v>
      </c>
      <c r="S96" t="s">
        <v>74</v>
      </c>
      <c r="T96" t="s">
        <v>74</v>
      </c>
      <c r="U96" t="s">
        <v>1583</v>
      </c>
      <c r="V96" t="s">
        <v>1584</v>
      </c>
      <c r="W96" t="s">
        <v>1585</v>
      </c>
      <c r="X96" t="s">
        <v>1586</v>
      </c>
      <c r="Y96" t="s">
        <v>1587</v>
      </c>
      <c r="Z96" t="s">
        <v>1588</v>
      </c>
      <c r="AA96" t="s">
        <v>1589</v>
      </c>
      <c r="AB96" t="s">
        <v>1590</v>
      </c>
      <c r="AC96" t="s">
        <v>74</v>
      </c>
      <c r="AD96" t="s">
        <v>74</v>
      </c>
      <c r="AE96" t="s">
        <v>74</v>
      </c>
      <c r="AF96" t="s">
        <v>74</v>
      </c>
      <c r="AG96">
        <v>23</v>
      </c>
      <c r="AH96">
        <v>240</v>
      </c>
      <c r="AI96">
        <v>284</v>
      </c>
      <c r="AJ96">
        <v>1</v>
      </c>
      <c r="AK96">
        <v>25</v>
      </c>
      <c r="AL96" t="s">
        <v>1571</v>
      </c>
      <c r="AM96" t="s">
        <v>1572</v>
      </c>
      <c r="AN96" t="s">
        <v>1573</v>
      </c>
      <c r="AO96" t="s">
        <v>1574</v>
      </c>
      <c r="AP96" t="s">
        <v>74</v>
      </c>
      <c r="AQ96" t="s">
        <v>74</v>
      </c>
      <c r="AR96" t="s">
        <v>1576</v>
      </c>
      <c r="AS96" t="s">
        <v>1577</v>
      </c>
      <c r="AT96" t="s">
        <v>890</v>
      </c>
      <c r="AU96">
        <v>2004</v>
      </c>
      <c r="AV96">
        <v>17</v>
      </c>
      <c r="AW96">
        <v>23</v>
      </c>
      <c r="AX96" t="s">
        <v>74</v>
      </c>
      <c r="AY96" t="s">
        <v>74</v>
      </c>
      <c r="AZ96" t="s">
        <v>74</v>
      </c>
      <c r="BA96" t="s">
        <v>74</v>
      </c>
      <c r="BB96">
        <v>4603</v>
      </c>
      <c r="BC96">
        <v>4619</v>
      </c>
      <c r="BD96" t="s">
        <v>74</v>
      </c>
      <c r="BE96" t="s">
        <v>1591</v>
      </c>
      <c r="BF96" t="str">
        <f>HYPERLINK("http://dx.doi.org/10.1175/3241.1","http://dx.doi.org/10.1175/3241.1")</f>
        <v>http://dx.doi.org/10.1175/3241.1</v>
      </c>
      <c r="BG96" t="s">
        <v>74</v>
      </c>
      <c r="BH96" t="s">
        <v>74</v>
      </c>
      <c r="BI96">
        <v>17</v>
      </c>
      <c r="BJ96" t="s">
        <v>291</v>
      </c>
      <c r="BK96" t="s">
        <v>139</v>
      </c>
      <c r="BL96" t="s">
        <v>291</v>
      </c>
      <c r="BM96" t="s">
        <v>1579</v>
      </c>
      <c r="BN96" t="s">
        <v>74</v>
      </c>
      <c r="BO96" t="s">
        <v>273</v>
      </c>
      <c r="BP96" t="s">
        <v>74</v>
      </c>
      <c r="BQ96" t="s">
        <v>74</v>
      </c>
      <c r="BR96" t="s">
        <v>98</v>
      </c>
      <c r="BS96" t="s">
        <v>1592</v>
      </c>
      <c r="BT96" t="str">
        <f>HYPERLINK("https%3A%2F%2Fwww.webofscience.com%2Fwos%2Fwoscc%2Ffull-record%2FWOS:000225501400010","View Full Record in Web of Science")</f>
        <v>View Full Record in Web of Science</v>
      </c>
    </row>
    <row r="97" spans="1:72" x14ac:dyDescent="0.15">
      <c r="A97" t="s">
        <v>122</v>
      </c>
      <c r="B97" t="s">
        <v>1593</v>
      </c>
      <c r="C97" t="s">
        <v>74</v>
      </c>
      <c r="D97" t="s">
        <v>74</v>
      </c>
      <c r="E97" t="s">
        <v>74</v>
      </c>
      <c r="F97" t="s">
        <v>1593</v>
      </c>
      <c r="G97" t="s">
        <v>74</v>
      </c>
      <c r="H97" t="s">
        <v>74</v>
      </c>
      <c r="I97" t="s">
        <v>1594</v>
      </c>
      <c r="J97" t="s">
        <v>1595</v>
      </c>
      <c r="K97" t="s">
        <v>74</v>
      </c>
      <c r="L97" t="s">
        <v>74</v>
      </c>
      <c r="M97" t="s">
        <v>79</v>
      </c>
      <c r="N97" t="s">
        <v>126</v>
      </c>
      <c r="O97" t="s">
        <v>74</v>
      </c>
      <c r="P97" t="s">
        <v>74</v>
      </c>
      <c r="Q97" t="s">
        <v>74</v>
      </c>
      <c r="R97" t="s">
        <v>74</v>
      </c>
      <c r="S97" t="s">
        <v>74</v>
      </c>
      <c r="T97" t="s">
        <v>1596</v>
      </c>
      <c r="U97" t="s">
        <v>1597</v>
      </c>
      <c r="V97" t="s">
        <v>1598</v>
      </c>
      <c r="W97" t="s">
        <v>1599</v>
      </c>
      <c r="X97" t="s">
        <v>1600</v>
      </c>
      <c r="Y97" t="s">
        <v>1601</v>
      </c>
      <c r="Z97" t="s">
        <v>1602</v>
      </c>
      <c r="AA97" t="s">
        <v>1396</v>
      </c>
      <c r="AB97" t="s">
        <v>1397</v>
      </c>
      <c r="AC97" t="s">
        <v>74</v>
      </c>
      <c r="AD97" t="s">
        <v>74</v>
      </c>
      <c r="AE97" t="s">
        <v>74</v>
      </c>
      <c r="AF97" t="s">
        <v>74</v>
      </c>
      <c r="AG97">
        <v>81</v>
      </c>
      <c r="AH97">
        <v>48</v>
      </c>
      <c r="AI97">
        <v>57</v>
      </c>
      <c r="AJ97">
        <v>0</v>
      </c>
      <c r="AK97">
        <v>35</v>
      </c>
      <c r="AL97" t="s">
        <v>1603</v>
      </c>
      <c r="AM97" t="s">
        <v>1604</v>
      </c>
      <c r="AN97" t="s">
        <v>1605</v>
      </c>
      <c r="AO97" t="s">
        <v>1606</v>
      </c>
      <c r="AP97" t="s">
        <v>1607</v>
      </c>
      <c r="AQ97" t="s">
        <v>74</v>
      </c>
      <c r="AR97" t="s">
        <v>1608</v>
      </c>
      <c r="AS97" t="s">
        <v>1609</v>
      </c>
      <c r="AT97" t="s">
        <v>890</v>
      </c>
      <c r="AU97">
        <v>2004</v>
      </c>
      <c r="AV97">
        <v>207</v>
      </c>
      <c r="AW97">
        <v>26</v>
      </c>
      <c r="AX97" t="s">
        <v>74</v>
      </c>
      <c r="AY97" t="s">
        <v>74</v>
      </c>
      <c r="AZ97" t="s">
        <v>74</v>
      </c>
      <c r="BA97" t="s">
        <v>74</v>
      </c>
      <c r="BB97">
        <v>4633</v>
      </c>
      <c r="BC97">
        <v>4649</v>
      </c>
      <c r="BD97" t="s">
        <v>74</v>
      </c>
      <c r="BE97" t="s">
        <v>1610</v>
      </c>
      <c r="BF97" t="str">
        <f>HYPERLINK("http://dx.doi.org/10.1242/jeb.01312","http://dx.doi.org/10.1242/jeb.01312")</f>
        <v>http://dx.doi.org/10.1242/jeb.01312</v>
      </c>
      <c r="BG97" t="s">
        <v>74</v>
      </c>
      <c r="BH97" t="s">
        <v>74</v>
      </c>
      <c r="BI97">
        <v>17</v>
      </c>
      <c r="BJ97" t="s">
        <v>1611</v>
      </c>
      <c r="BK97" t="s">
        <v>139</v>
      </c>
      <c r="BL97" t="s">
        <v>1612</v>
      </c>
      <c r="BM97" t="s">
        <v>1613</v>
      </c>
      <c r="BN97">
        <v>15579559</v>
      </c>
      <c r="BO97" t="s">
        <v>273</v>
      </c>
      <c r="BP97" t="s">
        <v>74</v>
      </c>
      <c r="BQ97" t="s">
        <v>74</v>
      </c>
      <c r="BR97" t="s">
        <v>98</v>
      </c>
      <c r="BS97" t="s">
        <v>1614</v>
      </c>
      <c r="BT97" t="str">
        <f>HYPERLINK("https%3A%2F%2Fwww.webofscience.com%2Fwos%2Fwoscc%2Ffull-record%2FWOS:000226737700019","View Full Record in Web of Science")</f>
        <v>View Full Record in Web of Science</v>
      </c>
    </row>
    <row r="98" spans="1:72" x14ac:dyDescent="0.15">
      <c r="A98" t="s">
        <v>122</v>
      </c>
      <c r="B98" t="s">
        <v>1615</v>
      </c>
      <c r="C98" t="s">
        <v>74</v>
      </c>
      <c r="D98" t="s">
        <v>74</v>
      </c>
      <c r="E98" t="s">
        <v>74</v>
      </c>
      <c r="F98" t="s">
        <v>1615</v>
      </c>
      <c r="G98" t="s">
        <v>74</v>
      </c>
      <c r="H98" t="s">
        <v>74</v>
      </c>
      <c r="I98" t="s">
        <v>1616</v>
      </c>
      <c r="J98" t="s">
        <v>1617</v>
      </c>
      <c r="K98" t="s">
        <v>74</v>
      </c>
      <c r="L98" t="s">
        <v>74</v>
      </c>
      <c r="M98" t="s">
        <v>79</v>
      </c>
      <c r="N98" t="s">
        <v>126</v>
      </c>
      <c r="O98" t="s">
        <v>74</v>
      </c>
      <c r="P98" t="s">
        <v>74</v>
      </c>
      <c r="Q98" t="s">
        <v>74</v>
      </c>
      <c r="R98" t="s">
        <v>74</v>
      </c>
      <c r="S98" t="s">
        <v>74</v>
      </c>
      <c r="T98" t="s">
        <v>1618</v>
      </c>
      <c r="U98" t="s">
        <v>1619</v>
      </c>
      <c r="V98" t="s">
        <v>1620</v>
      </c>
      <c r="W98" t="s">
        <v>1621</v>
      </c>
      <c r="X98" t="s">
        <v>1622</v>
      </c>
      <c r="Y98" t="s">
        <v>1623</v>
      </c>
      <c r="Z98" t="s">
        <v>1624</v>
      </c>
      <c r="AA98" t="s">
        <v>1625</v>
      </c>
      <c r="AB98" t="s">
        <v>1626</v>
      </c>
      <c r="AC98" t="s">
        <v>74</v>
      </c>
      <c r="AD98" t="s">
        <v>74</v>
      </c>
      <c r="AE98" t="s">
        <v>74</v>
      </c>
      <c r="AF98" t="s">
        <v>74</v>
      </c>
      <c r="AG98">
        <v>54</v>
      </c>
      <c r="AH98">
        <v>20</v>
      </c>
      <c r="AI98">
        <v>27</v>
      </c>
      <c r="AJ98">
        <v>0</v>
      </c>
      <c r="AK98">
        <v>30</v>
      </c>
      <c r="AL98" t="s">
        <v>1370</v>
      </c>
      <c r="AM98" t="s">
        <v>1371</v>
      </c>
      <c r="AN98" t="s">
        <v>1372</v>
      </c>
      <c r="AO98" t="s">
        <v>1627</v>
      </c>
      <c r="AP98" t="s">
        <v>1628</v>
      </c>
      <c r="AQ98" t="s">
        <v>74</v>
      </c>
      <c r="AR98" t="s">
        <v>1629</v>
      </c>
      <c r="AS98" t="s">
        <v>1630</v>
      </c>
      <c r="AT98" t="s">
        <v>890</v>
      </c>
      <c r="AU98">
        <v>2004</v>
      </c>
      <c r="AV98">
        <v>85</v>
      </c>
      <c r="AW98">
        <v>6</v>
      </c>
      <c r="AX98" t="s">
        <v>74</v>
      </c>
      <c r="AY98" t="s">
        <v>74</v>
      </c>
      <c r="AZ98" t="s">
        <v>74</v>
      </c>
      <c r="BA98" t="s">
        <v>74</v>
      </c>
      <c r="BB98">
        <v>1215</v>
      </c>
      <c r="BC98">
        <v>1224</v>
      </c>
      <c r="BD98" t="s">
        <v>74</v>
      </c>
      <c r="BE98" t="s">
        <v>1631</v>
      </c>
      <c r="BF98" t="str">
        <f>HYPERLINK("http://dx.doi.org/10.1644/BDW-010.1","http://dx.doi.org/10.1644/BDW-010.1")</f>
        <v>http://dx.doi.org/10.1644/BDW-010.1</v>
      </c>
      <c r="BG98" t="s">
        <v>74</v>
      </c>
      <c r="BH98" t="s">
        <v>74</v>
      </c>
      <c r="BI98">
        <v>10</v>
      </c>
      <c r="BJ98" t="s">
        <v>205</v>
      </c>
      <c r="BK98" t="s">
        <v>139</v>
      </c>
      <c r="BL98" t="s">
        <v>205</v>
      </c>
      <c r="BM98" t="s">
        <v>1632</v>
      </c>
      <c r="BN98" t="s">
        <v>74</v>
      </c>
      <c r="BO98" t="s">
        <v>273</v>
      </c>
      <c r="BP98" t="s">
        <v>74</v>
      </c>
      <c r="BQ98" t="s">
        <v>74</v>
      </c>
      <c r="BR98" t="s">
        <v>98</v>
      </c>
      <c r="BS98" t="s">
        <v>1633</v>
      </c>
      <c r="BT98" t="str">
        <f>HYPERLINK("https%3A%2F%2Fwww.webofscience.com%2Fwos%2Fwoscc%2Ffull-record%2FWOS:000225950800023","View Full Record in Web of Science")</f>
        <v>View Full Record in Web of Science</v>
      </c>
    </row>
    <row r="99" spans="1:72" x14ac:dyDescent="0.15">
      <c r="A99" t="s">
        <v>122</v>
      </c>
      <c r="B99" t="s">
        <v>1634</v>
      </c>
      <c r="C99" t="s">
        <v>74</v>
      </c>
      <c r="D99" t="s">
        <v>74</v>
      </c>
      <c r="E99" t="s">
        <v>74</v>
      </c>
      <c r="F99" t="s">
        <v>1634</v>
      </c>
      <c r="G99" t="s">
        <v>74</v>
      </c>
      <c r="H99" t="s">
        <v>74</v>
      </c>
      <c r="I99" t="s">
        <v>1635</v>
      </c>
      <c r="J99" t="s">
        <v>1636</v>
      </c>
      <c r="K99" t="s">
        <v>74</v>
      </c>
      <c r="L99" t="s">
        <v>74</v>
      </c>
      <c r="M99" t="s">
        <v>79</v>
      </c>
      <c r="N99" t="s">
        <v>126</v>
      </c>
      <c r="O99" t="s">
        <v>74</v>
      </c>
      <c r="P99" t="s">
        <v>74</v>
      </c>
      <c r="Q99" t="s">
        <v>74</v>
      </c>
      <c r="R99" t="s">
        <v>74</v>
      </c>
      <c r="S99" t="s">
        <v>74</v>
      </c>
      <c r="T99" t="s">
        <v>1637</v>
      </c>
      <c r="U99" t="s">
        <v>1638</v>
      </c>
      <c r="V99" t="s">
        <v>1639</v>
      </c>
      <c r="W99" t="s">
        <v>1640</v>
      </c>
      <c r="X99" t="s">
        <v>1641</v>
      </c>
      <c r="Y99" t="s">
        <v>1642</v>
      </c>
      <c r="Z99" t="s">
        <v>1643</v>
      </c>
      <c r="AA99" t="s">
        <v>74</v>
      </c>
      <c r="AB99" t="s">
        <v>74</v>
      </c>
      <c r="AC99" t="s">
        <v>74</v>
      </c>
      <c r="AD99" t="s">
        <v>74</v>
      </c>
      <c r="AE99" t="s">
        <v>74</v>
      </c>
      <c r="AF99" t="s">
        <v>74</v>
      </c>
      <c r="AG99">
        <v>74</v>
      </c>
      <c r="AH99">
        <v>20</v>
      </c>
      <c r="AI99">
        <v>21</v>
      </c>
      <c r="AJ99">
        <v>0</v>
      </c>
      <c r="AK99">
        <v>6</v>
      </c>
      <c r="AL99" t="s">
        <v>1644</v>
      </c>
      <c r="AM99" t="s">
        <v>1645</v>
      </c>
      <c r="AN99" t="s">
        <v>1646</v>
      </c>
      <c r="AO99" t="s">
        <v>1647</v>
      </c>
      <c r="AP99" t="s">
        <v>1648</v>
      </c>
      <c r="AQ99" t="s">
        <v>74</v>
      </c>
      <c r="AR99" t="s">
        <v>1649</v>
      </c>
      <c r="AS99" t="s">
        <v>1650</v>
      </c>
      <c r="AT99" t="s">
        <v>890</v>
      </c>
      <c r="AU99">
        <v>2004</v>
      </c>
      <c r="AV99">
        <v>38</v>
      </c>
      <c r="AW99">
        <v>22</v>
      </c>
      <c r="AX99" t="s">
        <v>74</v>
      </c>
      <c r="AY99" t="s">
        <v>74</v>
      </c>
      <c r="AZ99" t="s">
        <v>74</v>
      </c>
      <c r="BA99" t="s">
        <v>74</v>
      </c>
      <c r="BB99">
        <v>2901</v>
      </c>
      <c r="BC99">
        <v>2922</v>
      </c>
      <c r="BD99" t="s">
        <v>74</v>
      </c>
      <c r="BE99" t="s">
        <v>1651</v>
      </c>
      <c r="BF99" t="str">
        <f>HYPERLINK("http://dx.doi.org/10.1080/00222930310001657685","http://dx.doi.org/10.1080/00222930310001657685")</f>
        <v>http://dx.doi.org/10.1080/00222930310001657685</v>
      </c>
      <c r="BG99" t="s">
        <v>74</v>
      </c>
      <c r="BH99" t="s">
        <v>74</v>
      </c>
      <c r="BI99">
        <v>22</v>
      </c>
      <c r="BJ99" t="s">
        <v>1652</v>
      </c>
      <c r="BK99" t="s">
        <v>139</v>
      </c>
      <c r="BL99" t="s">
        <v>1653</v>
      </c>
      <c r="BM99" t="s">
        <v>1654</v>
      </c>
      <c r="BN99" t="s">
        <v>74</v>
      </c>
      <c r="BO99" t="s">
        <v>74</v>
      </c>
      <c r="BP99" t="s">
        <v>74</v>
      </c>
      <c r="BQ99" t="s">
        <v>74</v>
      </c>
      <c r="BR99" t="s">
        <v>98</v>
      </c>
      <c r="BS99" t="s">
        <v>1655</v>
      </c>
      <c r="BT99" t="str">
        <f>HYPERLINK("https%3A%2F%2Fwww.webofscience.com%2Fwos%2Fwoscc%2Ffull-record%2FWOS:000221933400007","View Full Record in Web of Science")</f>
        <v>View Full Record in Web of Science</v>
      </c>
    </row>
    <row r="100" spans="1:72" x14ac:dyDescent="0.15">
      <c r="A100" t="s">
        <v>122</v>
      </c>
      <c r="B100" t="s">
        <v>1656</v>
      </c>
      <c r="C100" t="s">
        <v>74</v>
      </c>
      <c r="D100" t="s">
        <v>74</v>
      </c>
      <c r="E100" t="s">
        <v>74</v>
      </c>
      <c r="F100" t="s">
        <v>1656</v>
      </c>
      <c r="G100" t="s">
        <v>74</v>
      </c>
      <c r="H100" t="s">
        <v>74</v>
      </c>
      <c r="I100" t="s">
        <v>1657</v>
      </c>
      <c r="J100" t="s">
        <v>1658</v>
      </c>
      <c r="K100" t="s">
        <v>74</v>
      </c>
      <c r="L100" t="s">
        <v>74</v>
      </c>
      <c r="M100" t="s">
        <v>79</v>
      </c>
      <c r="N100" t="s">
        <v>126</v>
      </c>
      <c r="O100" t="s">
        <v>74</v>
      </c>
      <c r="P100" t="s">
        <v>74</v>
      </c>
      <c r="Q100" t="s">
        <v>74</v>
      </c>
      <c r="R100" t="s">
        <v>74</v>
      </c>
      <c r="S100" t="s">
        <v>74</v>
      </c>
      <c r="T100" t="s">
        <v>1659</v>
      </c>
      <c r="U100" t="s">
        <v>1660</v>
      </c>
      <c r="V100" t="s">
        <v>1661</v>
      </c>
      <c r="W100" t="s">
        <v>1662</v>
      </c>
      <c r="X100" t="s">
        <v>1663</v>
      </c>
      <c r="Y100" t="s">
        <v>1664</v>
      </c>
      <c r="Z100" t="s">
        <v>1665</v>
      </c>
      <c r="AA100" t="s">
        <v>74</v>
      </c>
      <c r="AB100" t="s">
        <v>1666</v>
      </c>
      <c r="AC100" t="s">
        <v>74</v>
      </c>
      <c r="AD100" t="s">
        <v>74</v>
      </c>
      <c r="AE100" t="s">
        <v>74</v>
      </c>
      <c r="AF100" t="s">
        <v>74</v>
      </c>
      <c r="AG100">
        <v>39</v>
      </c>
      <c r="AH100">
        <v>63</v>
      </c>
      <c r="AI100">
        <v>72</v>
      </c>
      <c r="AJ100">
        <v>1</v>
      </c>
      <c r="AK100">
        <v>47</v>
      </c>
      <c r="AL100" t="s">
        <v>1418</v>
      </c>
      <c r="AM100" t="s">
        <v>1419</v>
      </c>
      <c r="AN100" t="s">
        <v>1420</v>
      </c>
      <c r="AO100" t="s">
        <v>1667</v>
      </c>
      <c r="AP100" t="s">
        <v>1668</v>
      </c>
      <c r="AQ100" t="s">
        <v>74</v>
      </c>
      <c r="AR100" t="s">
        <v>1669</v>
      </c>
      <c r="AS100" t="s">
        <v>1670</v>
      </c>
      <c r="AT100" t="s">
        <v>890</v>
      </c>
      <c r="AU100">
        <v>2004</v>
      </c>
      <c r="AV100">
        <v>40</v>
      </c>
      <c r="AW100">
        <v>6</v>
      </c>
      <c r="AX100" t="s">
        <v>74</v>
      </c>
      <c r="AY100" t="s">
        <v>74</v>
      </c>
      <c r="AZ100" t="s">
        <v>74</v>
      </c>
      <c r="BA100" t="s">
        <v>74</v>
      </c>
      <c r="BB100">
        <v>1138</v>
      </c>
      <c r="BC100">
        <v>1148</v>
      </c>
      <c r="BD100" t="s">
        <v>74</v>
      </c>
      <c r="BE100" t="s">
        <v>1671</v>
      </c>
      <c r="BF100" t="str">
        <f>HYPERLINK("http://dx.doi.org/10.1111/j.1529-8817.2004.04060.x","http://dx.doi.org/10.1111/j.1529-8817.2004.04060.x")</f>
        <v>http://dx.doi.org/10.1111/j.1529-8817.2004.04060.x</v>
      </c>
      <c r="BG100" t="s">
        <v>74</v>
      </c>
      <c r="BH100" t="s">
        <v>74</v>
      </c>
      <c r="BI100">
        <v>11</v>
      </c>
      <c r="BJ100" t="s">
        <v>1672</v>
      </c>
      <c r="BK100" t="s">
        <v>139</v>
      </c>
      <c r="BL100" t="s">
        <v>1672</v>
      </c>
      <c r="BM100" t="s">
        <v>1673</v>
      </c>
      <c r="BN100" t="s">
        <v>74</v>
      </c>
      <c r="BO100" t="s">
        <v>74</v>
      </c>
      <c r="BP100" t="s">
        <v>74</v>
      </c>
      <c r="BQ100" t="s">
        <v>74</v>
      </c>
      <c r="BR100" t="s">
        <v>98</v>
      </c>
      <c r="BS100" t="s">
        <v>1674</v>
      </c>
      <c r="BT100" t="str">
        <f>HYPERLINK("https%3A%2F%2Fwww.webofscience.com%2Fwos%2Fwoscc%2Ffull-record%2FWOS:000225633600015","View Full Record in Web of Science")</f>
        <v>View Full Record in Web of Science</v>
      </c>
    </row>
    <row r="101" spans="1:72" x14ac:dyDescent="0.15">
      <c r="A101" t="s">
        <v>122</v>
      </c>
      <c r="B101" t="s">
        <v>1675</v>
      </c>
      <c r="C101" t="s">
        <v>74</v>
      </c>
      <c r="D101" t="s">
        <v>74</v>
      </c>
      <c r="E101" t="s">
        <v>74</v>
      </c>
      <c r="F101" t="s">
        <v>1675</v>
      </c>
      <c r="G101" t="s">
        <v>74</v>
      </c>
      <c r="H101" t="s">
        <v>74</v>
      </c>
      <c r="I101" t="s">
        <v>1676</v>
      </c>
      <c r="J101" t="s">
        <v>1677</v>
      </c>
      <c r="K101" t="s">
        <v>74</v>
      </c>
      <c r="L101" t="s">
        <v>74</v>
      </c>
      <c r="M101" t="s">
        <v>79</v>
      </c>
      <c r="N101" t="s">
        <v>126</v>
      </c>
      <c r="O101" t="s">
        <v>74</v>
      </c>
      <c r="P101" t="s">
        <v>74</v>
      </c>
      <c r="Q101" t="s">
        <v>74</v>
      </c>
      <c r="R101" t="s">
        <v>74</v>
      </c>
      <c r="S101" t="s">
        <v>74</v>
      </c>
      <c r="T101" t="s">
        <v>74</v>
      </c>
      <c r="U101" t="s">
        <v>1678</v>
      </c>
      <c r="V101" t="s">
        <v>1679</v>
      </c>
      <c r="W101" t="s">
        <v>1680</v>
      </c>
      <c r="X101" t="s">
        <v>1681</v>
      </c>
      <c r="Y101" t="s">
        <v>1682</v>
      </c>
      <c r="Z101" t="s">
        <v>1683</v>
      </c>
      <c r="AA101" t="s">
        <v>1684</v>
      </c>
      <c r="AB101" t="s">
        <v>1685</v>
      </c>
      <c r="AC101" t="s">
        <v>74</v>
      </c>
      <c r="AD101" t="s">
        <v>74</v>
      </c>
      <c r="AE101" t="s">
        <v>74</v>
      </c>
      <c r="AF101" t="s">
        <v>74</v>
      </c>
      <c r="AG101">
        <v>74</v>
      </c>
      <c r="AH101">
        <v>21</v>
      </c>
      <c r="AI101">
        <v>23</v>
      </c>
      <c r="AJ101">
        <v>0</v>
      </c>
      <c r="AK101">
        <v>11</v>
      </c>
      <c r="AL101" t="s">
        <v>1571</v>
      </c>
      <c r="AM101" t="s">
        <v>1572</v>
      </c>
      <c r="AN101" t="s">
        <v>1573</v>
      </c>
      <c r="AO101" t="s">
        <v>1686</v>
      </c>
      <c r="AP101" t="s">
        <v>1687</v>
      </c>
      <c r="AQ101" t="s">
        <v>74</v>
      </c>
      <c r="AR101" t="s">
        <v>1688</v>
      </c>
      <c r="AS101" t="s">
        <v>1689</v>
      </c>
      <c r="AT101" t="s">
        <v>890</v>
      </c>
      <c r="AU101">
        <v>2004</v>
      </c>
      <c r="AV101">
        <v>34</v>
      </c>
      <c r="AW101">
        <v>12</v>
      </c>
      <c r="AX101" t="s">
        <v>74</v>
      </c>
      <c r="AY101" t="s">
        <v>74</v>
      </c>
      <c r="AZ101" t="s">
        <v>74</v>
      </c>
      <c r="BA101" t="s">
        <v>74</v>
      </c>
      <c r="BB101">
        <v>2592</v>
      </c>
      <c r="BC101">
        <v>2614</v>
      </c>
      <c r="BD101" t="s">
        <v>74</v>
      </c>
      <c r="BE101" t="s">
        <v>1690</v>
      </c>
      <c r="BF101" t="str">
        <f>HYPERLINK("http://dx.doi.org/10.1175/JPO2651.1","http://dx.doi.org/10.1175/JPO2651.1")</f>
        <v>http://dx.doi.org/10.1175/JPO2651.1</v>
      </c>
      <c r="BG101" t="s">
        <v>74</v>
      </c>
      <c r="BH101" t="s">
        <v>74</v>
      </c>
      <c r="BI101">
        <v>23</v>
      </c>
      <c r="BJ101" t="s">
        <v>660</v>
      </c>
      <c r="BK101" t="s">
        <v>139</v>
      </c>
      <c r="BL101" t="s">
        <v>660</v>
      </c>
      <c r="BM101" t="s">
        <v>1691</v>
      </c>
      <c r="BN101" t="s">
        <v>74</v>
      </c>
      <c r="BO101" t="s">
        <v>273</v>
      </c>
      <c r="BP101" t="s">
        <v>74</v>
      </c>
      <c r="BQ101" t="s">
        <v>74</v>
      </c>
      <c r="BR101" t="s">
        <v>98</v>
      </c>
      <c r="BS101" t="s">
        <v>1692</v>
      </c>
      <c r="BT101" t="str">
        <f>HYPERLINK("https%3A%2F%2Fwww.webofscience.com%2Fwos%2Fwoscc%2Ffull-record%2FWOS:000226458900003","View Full Record in Web of Science")</f>
        <v>View Full Record in Web of Science</v>
      </c>
    </row>
    <row r="102" spans="1:72" x14ac:dyDescent="0.15">
      <c r="A102" t="s">
        <v>122</v>
      </c>
      <c r="B102" t="s">
        <v>1693</v>
      </c>
      <c r="C102" t="s">
        <v>74</v>
      </c>
      <c r="D102" t="s">
        <v>74</v>
      </c>
      <c r="E102" t="s">
        <v>74</v>
      </c>
      <c r="F102" t="s">
        <v>1693</v>
      </c>
      <c r="G102" t="s">
        <v>74</v>
      </c>
      <c r="H102" t="s">
        <v>74</v>
      </c>
      <c r="I102" t="s">
        <v>1694</v>
      </c>
      <c r="J102" t="s">
        <v>1695</v>
      </c>
      <c r="K102" t="s">
        <v>74</v>
      </c>
      <c r="L102" t="s">
        <v>74</v>
      </c>
      <c r="M102" t="s">
        <v>79</v>
      </c>
      <c r="N102" t="s">
        <v>126</v>
      </c>
      <c r="O102" t="s">
        <v>74</v>
      </c>
      <c r="P102" t="s">
        <v>74</v>
      </c>
      <c r="Q102" t="s">
        <v>74</v>
      </c>
      <c r="R102" t="s">
        <v>74</v>
      </c>
      <c r="S102" t="s">
        <v>74</v>
      </c>
      <c r="T102" t="s">
        <v>74</v>
      </c>
      <c r="U102" t="s">
        <v>1696</v>
      </c>
      <c r="V102" t="s">
        <v>1697</v>
      </c>
      <c r="W102" t="s">
        <v>1698</v>
      </c>
      <c r="X102" t="s">
        <v>1699</v>
      </c>
      <c r="Y102" t="s">
        <v>1700</v>
      </c>
      <c r="Z102" t="s">
        <v>1701</v>
      </c>
      <c r="AA102" t="s">
        <v>1702</v>
      </c>
      <c r="AB102" t="s">
        <v>1703</v>
      </c>
      <c r="AC102" t="s">
        <v>74</v>
      </c>
      <c r="AD102" t="s">
        <v>74</v>
      </c>
      <c r="AE102" t="s">
        <v>74</v>
      </c>
      <c r="AF102" t="s">
        <v>74</v>
      </c>
      <c r="AG102">
        <v>17</v>
      </c>
      <c r="AH102">
        <v>8</v>
      </c>
      <c r="AI102">
        <v>8</v>
      </c>
      <c r="AJ102">
        <v>0</v>
      </c>
      <c r="AK102">
        <v>2</v>
      </c>
      <c r="AL102" t="s">
        <v>196</v>
      </c>
      <c r="AM102" t="s">
        <v>197</v>
      </c>
      <c r="AN102" t="s">
        <v>198</v>
      </c>
      <c r="AO102" t="s">
        <v>1704</v>
      </c>
      <c r="AP102" t="s">
        <v>1705</v>
      </c>
      <c r="AQ102" t="s">
        <v>74</v>
      </c>
      <c r="AR102" t="s">
        <v>1706</v>
      </c>
      <c r="AS102" t="s">
        <v>1707</v>
      </c>
      <c r="AT102" t="s">
        <v>890</v>
      </c>
      <c r="AU102">
        <v>2004</v>
      </c>
      <c r="AV102">
        <v>26</v>
      </c>
      <c r="AW102">
        <v>12</v>
      </c>
      <c r="AX102" t="s">
        <v>74</v>
      </c>
      <c r="AY102" t="s">
        <v>74</v>
      </c>
      <c r="AZ102" t="s">
        <v>74</v>
      </c>
      <c r="BA102" t="s">
        <v>74</v>
      </c>
      <c r="BB102">
        <v>1419</v>
      </c>
      <c r="BC102">
        <v>1427</v>
      </c>
      <c r="BD102" t="s">
        <v>74</v>
      </c>
      <c r="BE102" t="s">
        <v>1708</v>
      </c>
      <c r="BF102" t="str">
        <f>HYPERLINK("http://dx.doi.org/10.1093/plankt/fbh129","http://dx.doi.org/10.1093/plankt/fbh129")</f>
        <v>http://dx.doi.org/10.1093/plankt/fbh129</v>
      </c>
      <c r="BG102" t="s">
        <v>74</v>
      </c>
      <c r="BH102" t="s">
        <v>74</v>
      </c>
      <c r="BI102">
        <v>9</v>
      </c>
      <c r="BJ102" t="s">
        <v>1709</v>
      </c>
      <c r="BK102" t="s">
        <v>139</v>
      </c>
      <c r="BL102" t="s">
        <v>1709</v>
      </c>
      <c r="BM102" t="s">
        <v>1710</v>
      </c>
      <c r="BN102" t="s">
        <v>74</v>
      </c>
      <c r="BO102" t="s">
        <v>74</v>
      </c>
      <c r="BP102" t="s">
        <v>74</v>
      </c>
      <c r="BQ102" t="s">
        <v>74</v>
      </c>
      <c r="BR102" t="s">
        <v>98</v>
      </c>
      <c r="BS102" t="s">
        <v>1711</v>
      </c>
      <c r="BT102" t="str">
        <f>HYPERLINK("https%3A%2F%2Fwww.webofscience.com%2Fwos%2Fwoscc%2Ffull-record%2FWOS:000227233500005","View Full Record in Web of Science")</f>
        <v>View Full Record in Web of Science</v>
      </c>
    </row>
    <row r="103" spans="1:72" x14ac:dyDescent="0.15">
      <c r="A103" t="s">
        <v>122</v>
      </c>
      <c r="B103" t="s">
        <v>1712</v>
      </c>
      <c r="C103" t="s">
        <v>74</v>
      </c>
      <c r="D103" t="s">
        <v>74</v>
      </c>
      <c r="E103" t="s">
        <v>74</v>
      </c>
      <c r="F103" t="s">
        <v>1712</v>
      </c>
      <c r="G103" t="s">
        <v>74</v>
      </c>
      <c r="H103" t="s">
        <v>74</v>
      </c>
      <c r="I103" t="s">
        <v>1713</v>
      </c>
      <c r="J103" t="s">
        <v>1695</v>
      </c>
      <c r="K103" t="s">
        <v>74</v>
      </c>
      <c r="L103" t="s">
        <v>74</v>
      </c>
      <c r="M103" t="s">
        <v>79</v>
      </c>
      <c r="N103" t="s">
        <v>126</v>
      </c>
      <c r="O103" t="s">
        <v>74</v>
      </c>
      <c r="P103" t="s">
        <v>74</v>
      </c>
      <c r="Q103" t="s">
        <v>74</v>
      </c>
      <c r="R103" t="s">
        <v>74</v>
      </c>
      <c r="S103" t="s">
        <v>74</v>
      </c>
      <c r="T103" t="s">
        <v>74</v>
      </c>
      <c r="U103" t="s">
        <v>1714</v>
      </c>
      <c r="V103" t="s">
        <v>1715</v>
      </c>
      <c r="W103" t="s">
        <v>1716</v>
      </c>
      <c r="X103" t="s">
        <v>1137</v>
      </c>
      <c r="Y103" t="s">
        <v>1717</v>
      </c>
      <c r="Z103" t="s">
        <v>1718</v>
      </c>
      <c r="AA103" t="s">
        <v>1719</v>
      </c>
      <c r="AB103" t="s">
        <v>1720</v>
      </c>
      <c r="AC103" t="s">
        <v>74</v>
      </c>
      <c r="AD103" t="s">
        <v>74</v>
      </c>
      <c r="AE103" t="s">
        <v>74</v>
      </c>
      <c r="AF103" t="s">
        <v>74</v>
      </c>
      <c r="AG103">
        <v>66</v>
      </c>
      <c r="AH103">
        <v>41</v>
      </c>
      <c r="AI103">
        <v>46</v>
      </c>
      <c r="AJ103">
        <v>0</v>
      </c>
      <c r="AK103">
        <v>13</v>
      </c>
      <c r="AL103" t="s">
        <v>196</v>
      </c>
      <c r="AM103" t="s">
        <v>197</v>
      </c>
      <c r="AN103" t="s">
        <v>198</v>
      </c>
      <c r="AO103" t="s">
        <v>1704</v>
      </c>
      <c r="AP103" t="s">
        <v>74</v>
      </c>
      <c r="AQ103" t="s">
        <v>74</v>
      </c>
      <c r="AR103" t="s">
        <v>1706</v>
      </c>
      <c r="AS103" t="s">
        <v>1707</v>
      </c>
      <c r="AT103" t="s">
        <v>890</v>
      </c>
      <c r="AU103">
        <v>2004</v>
      </c>
      <c r="AV103">
        <v>26</v>
      </c>
      <c r="AW103">
        <v>12</v>
      </c>
      <c r="AX103" t="s">
        <v>74</v>
      </c>
      <c r="AY103" t="s">
        <v>74</v>
      </c>
      <c r="AZ103" t="s">
        <v>74</v>
      </c>
      <c r="BA103" t="s">
        <v>74</v>
      </c>
      <c r="BB103">
        <v>1479</v>
      </c>
      <c r="BC103">
        <v>1488</v>
      </c>
      <c r="BD103" t="s">
        <v>74</v>
      </c>
      <c r="BE103" t="s">
        <v>1721</v>
      </c>
      <c r="BF103" t="str">
        <f>HYPERLINK("http://dx.doi.org/10.1093/plankt/fbh135","http://dx.doi.org/10.1093/plankt/fbh135")</f>
        <v>http://dx.doi.org/10.1093/plankt/fbh135</v>
      </c>
      <c r="BG103" t="s">
        <v>74</v>
      </c>
      <c r="BH103" t="s">
        <v>74</v>
      </c>
      <c r="BI103">
        <v>10</v>
      </c>
      <c r="BJ103" t="s">
        <v>1709</v>
      </c>
      <c r="BK103" t="s">
        <v>139</v>
      </c>
      <c r="BL103" t="s">
        <v>1709</v>
      </c>
      <c r="BM103" t="s">
        <v>1710</v>
      </c>
      <c r="BN103" t="s">
        <v>74</v>
      </c>
      <c r="BO103" t="s">
        <v>273</v>
      </c>
      <c r="BP103" t="s">
        <v>74</v>
      </c>
      <c r="BQ103" t="s">
        <v>74</v>
      </c>
      <c r="BR103" t="s">
        <v>98</v>
      </c>
      <c r="BS103" t="s">
        <v>1722</v>
      </c>
      <c r="BT103" t="str">
        <f>HYPERLINK("https%3A%2F%2Fwww.webofscience.com%2Fwos%2Fwoscc%2Ffull-record%2FWOS:000227233500010","View Full Record in Web of Science")</f>
        <v>View Full Record in Web of Science</v>
      </c>
    </row>
    <row r="104" spans="1:72" x14ac:dyDescent="0.15">
      <c r="A104" t="s">
        <v>122</v>
      </c>
      <c r="B104" t="s">
        <v>123</v>
      </c>
      <c r="C104" t="s">
        <v>74</v>
      </c>
      <c r="D104" t="s">
        <v>74</v>
      </c>
      <c r="E104" t="s">
        <v>74</v>
      </c>
      <c r="F104" t="s">
        <v>123</v>
      </c>
      <c r="G104" t="s">
        <v>74</v>
      </c>
      <c r="H104" t="s">
        <v>74</v>
      </c>
      <c r="I104" t="s">
        <v>1723</v>
      </c>
      <c r="J104" t="s">
        <v>1724</v>
      </c>
      <c r="K104" t="s">
        <v>74</v>
      </c>
      <c r="L104" t="s">
        <v>74</v>
      </c>
      <c r="M104" t="s">
        <v>79</v>
      </c>
      <c r="N104" t="s">
        <v>126</v>
      </c>
      <c r="O104" t="s">
        <v>74</v>
      </c>
      <c r="P104" t="s">
        <v>74</v>
      </c>
      <c r="Q104" t="s">
        <v>74</v>
      </c>
      <c r="R104" t="s">
        <v>74</v>
      </c>
      <c r="S104" t="s">
        <v>74</v>
      </c>
      <c r="T104" t="s">
        <v>1725</v>
      </c>
      <c r="U104" t="s">
        <v>1726</v>
      </c>
      <c r="V104" t="s">
        <v>1727</v>
      </c>
      <c r="W104" t="s">
        <v>108</v>
      </c>
      <c r="X104" t="s">
        <v>103</v>
      </c>
      <c r="Y104" t="s">
        <v>129</v>
      </c>
      <c r="Z104" t="s">
        <v>130</v>
      </c>
      <c r="AA104" t="s">
        <v>74</v>
      </c>
      <c r="AB104" t="s">
        <v>74</v>
      </c>
      <c r="AC104" t="s">
        <v>74</v>
      </c>
      <c r="AD104" t="s">
        <v>74</v>
      </c>
      <c r="AE104" t="s">
        <v>74</v>
      </c>
      <c r="AF104" t="s">
        <v>74</v>
      </c>
      <c r="AG104">
        <v>10</v>
      </c>
      <c r="AH104">
        <v>15</v>
      </c>
      <c r="AI104">
        <v>18</v>
      </c>
      <c r="AJ104">
        <v>1</v>
      </c>
      <c r="AK104">
        <v>9</v>
      </c>
      <c r="AL104" t="s">
        <v>919</v>
      </c>
      <c r="AM104" t="s">
        <v>613</v>
      </c>
      <c r="AN104" t="s">
        <v>920</v>
      </c>
      <c r="AO104" t="s">
        <v>1728</v>
      </c>
      <c r="AP104" t="s">
        <v>74</v>
      </c>
      <c r="AQ104" t="s">
        <v>74</v>
      </c>
      <c r="AR104" t="s">
        <v>1729</v>
      </c>
      <c r="AS104" t="s">
        <v>1730</v>
      </c>
      <c r="AT104" t="s">
        <v>890</v>
      </c>
      <c r="AU104">
        <v>2004</v>
      </c>
      <c r="AV104">
        <v>264</v>
      </c>
      <c r="AW104" t="s">
        <v>74</v>
      </c>
      <c r="AX104">
        <v>4</v>
      </c>
      <c r="AY104" t="s">
        <v>74</v>
      </c>
      <c r="AZ104" t="s">
        <v>74</v>
      </c>
      <c r="BA104" t="s">
        <v>74</v>
      </c>
      <c r="BB104">
        <v>399</v>
      </c>
      <c r="BC104">
        <v>402</v>
      </c>
      <c r="BD104" t="s">
        <v>74</v>
      </c>
      <c r="BE104" t="s">
        <v>1731</v>
      </c>
      <c r="BF104" t="str">
        <f>HYPERLINK("http://dx.doi.org/10.1017/s0952836904005928","http://dx.doi.org/10.1017/s0952836904005928")</f>
        <v>http://dx.doi.org/10.1017/s0952836904005928</v>
      </c>
      <c r="BG104" t="s">
        <v>74</v>
      </c>
      <c r="BH104" t="s">
        <v>74</v>
      </c>
      <c r="BI104">
        <v>4</v>
      </c>
      <c r="BJ104" t="s">
        <v>205</v>
      </c>
      <c r="BK104" t="s">
        <v>139</v>
      </c>
      <c r="BL104" t="s">
        <v>205</v>
      </c>
      <c r="BM104" t="s">
        <v>1732</v>
      </c>
      <c r="BN104" t="s">
        <v>74</v>
      </c>
      <c r="BO104" t="s">
        <v>74</v>
      </c>
      <c r="BP104" t="s">
        <v>74</v>
      </c>
      <c r="BQ104" t="s">
        <v>74</v>
      </c>
      <c r="BR104" t="s">
        <v>98</v>
      </c>
      <c r="BS104" t="s">
        <v>1733</v>
      </c>
      <c r="BT104" t="str">
        <f>HYPERLINK("https%3A%2F%2Fwww.webofscience.com%2Fwos%2Fwoscc%2Ffull-record%2FWOS:000225668900007","View Full Record in Web of Science")</f>
        <v>View Full Record in Web of Science</v>
      </c>
    </row>
    <row r="105" spans="1:72" x14ac:dyDescent="0.15">
      <c r="A105" t="s">
        <v>122</v>
      </c>
      <c r="B105" t="s">
        <v>1734</v>
      </c>
      <c r="C105" t="s">
        <v>74</v>
      </c>
      <c r="D105" t="s">
        <v>74</v>
      </c>
      <c r="E105" t="s">
        <v>74</v>
      </c>
      <c r="F105" t="s">
        <v>1734</v>
      </c>
      <c r="G105" t="s">
        <v>74</v>
      </c>
      <c r="H105" t="s">
        <v>74</v>
      </c>
      <c r="I105" t="s">
        <v>1735</v>
      </c>
      <c r="J105" t="s">
        <v>1724</v>
      </c>
      <c r="K105" t="s">
        <v>74</v>
      </c>
      <c r="L105" t="s">
        <v>74</v>
      </c>
      <c r="M105" t="s">
        <v>79</v>
      </c>
      <c r="N105" t="s">
        <v>126</v>
      </c>
      <c r="O105" t="s">
        <v>74</v>
      </c>
      <c r="P105" t="s">
        <v>74</v>
      </c>
      <c r="Q105" t="s">
        <v>74</v>
      </c>
      <c r="R105" t="s">
        <v>74</v>
      </c>
      <c r="S105" t="s">
        <v>74</v>
      </c>
      <c r="T105" t="s">
        <v>1736</v>
      </c>
      <c r="U105" t="s">
        <v>1737</v>
      </c>
      <c r="V105" t="s">
        <v>1738</v>
      </c>
      <c r="W105" t="s">
        <v>1739</v>
      </c>
      <c r="X105" t="s">
        <v>1740</v>
      </c>
      <c r="Y105" t="s">
        <v>1741</v>
      </c>
      <c r="Z105" t="s">
        <v>1742</v>
      </c>
      <c r="AA105" t="s">
        <v>1743</v>
      </c>
      <c r="AB105" t="s">
        <v>1744</v>
      </c>
      <c r="AC105" t="s">
        <v>74</v>
      </c>
      <c r="AD105" t="s">
        <v>74</v>
      </c>
      <c r="AE105" t="s">
        <v>74</v>
      </c>
      <c r="AF105" t="s">
        <v>74</v>
      </c>
      <c r="AG105">
        <v>58</v>
      </c>
      <c r="AH105">
        <v>112</v>
      </c>
      <c r="AI105">
        <v>121</v>
      </c>
      <c r="AJ105">
        <v>3</v>
      </c>
      <c r="AK105">
        <v>23</v>
      </c>
      <c r="AL105" t="s">
        <v>1745</v>
      </c>
      <c r="AM105" t="s">
        <v>1419</v>
      </c>
      <c r="AN105" t="s">
        <v>1420</v>
      </c>
      <c r="AO105" t="s">
        <v>1728</v>
      </c>
      <c r="AP105" t="s">
        <v>1746</v>
      </c>
      <c r="AQ105" t="s">
        <v>74</v>
      </c>
      <c r="AR105" t="s">
        <v>1729</v>
      </c>
      <c r="AS105" t="s">
        <v>1730</v>
      </c>
      <c r="AT105" t="s">
        <v>890</v>
      </c>
      <c r="AU105">
        <v>2004</v>
      </c>
      <c r="AV105">
        <v>264</v>
      </c>
      <c r="AW105" t="s">
        <v>74</v>
      </c>
      <c r="AX105">
        <v>4</v>
      </c>
      <c r="AY105" t="s">
        <v>74</v>
      </c>
      <c r="AZ105" t="s">
        <v>74</v>
      </c>
      <c r="BA105" t="s">
        <v>74</v>
      </c>
      <c r="BB105">
        <v>419</v>
      </c>
      <c r="BC105">
        <v>428</v>
      </c>
      <c r="BD105" t="s">
        <v>74</v>
      </c>
      <c r="BE105" t="s">
        <v>1747</v>
      </c>
      <c r="BF105" t="str">
        <f>HYPERLINK("http://dx.doi.org/10.1017/s0952836904005965","http://dx.doi.org/10.1017/s0952836904005965")</f>
        <v>http://dx.doi.org/10.1017/s0952836904005965</v>
      </c>
      <c r="BG105" t="s">
        <v>74</v>
      </c>
      <c r="BH105" t="s">
        <v>74</v>
      </c>
      <c r="BI105">
        <v>10</v>
      </c>
      <c r="BJ105" t="s">
        <v>205</v>
      </c>
      <c r="BK105" t="s">
        <v>139</v>
      </c>
      <c r="BL105" t="s">
        <v>205</v>
      </c>
      <c r="BM105" t="s">
        <v>1732</v>
      </c>
      <c r="BN105" t="s">
        <v>74</v>
      </c>
      <c r="BO105" t="s">
        <v>988</v>
      </c>
      <c r="BP105" t="s">
        <v>74</v>
      </c>
      <c r="BQ105" t="s">
        <v>74</v>
      </c>
      <c r="BR105" t="s">
        <v>98</v>
      </c>
      <c r="BS105" t="s">
        <v>1748</v>
      </c>
      <c r="BT105" t="str">
        <f>HYPERLINK("https%3A%2F%2Fwww.webofscience.com%2Fwos%2Fwoscc%2Ffull-record%2FWOS:000225668900010","View Full Record in Web of Science")</f>
        <v>View Full Record in Web of Science</v>
      </c>
    </row>
    <row r="106" spans="1:72" x14ac:dyDescent="0.15">
      <c r="A106" t="s">
        <v>122</v>
      </c>
      <c r="B106" t="s">
        <v>1749</v>
      </c>
      <c r="C106" t="s">
        <v>74</v>
      </c>
      <c r="D106" t="s">
        <v>74</v>
      </c>
      <c r="E106" t="s">
        <v>74</v>
      </c>
      <c r="F106" t="s">
        <v>1749</v>
      </c>
      <c r="G106" t="s">
        <v>74</v>
      </c>
      <c r="H106" t="s">
        <v>74</v>
      </c>
      <c r="I106" t="s">
        <v>1750</v>
      </c>
      <c r="J106" t="s">
        <v>1751</v>
      </c>
      <c r="K106" t="s">
        <v>74</v>
      </c>
      <c r="L106" t="s">
        <v>74</v>
      </c>
      <c r="M106" t="s">
        <v>79</v>
      </c>
      <c r="N106" t="s">
        <v>126</v>
      </c>
      <c r="O106" t="s">
        <v>74</v>
      </c>
      <c r="P106" t="s">
        <v>74</v>
      </c>
      <c r="Q106" t="s">
        <v>74</v>
      </c>
      <c r="R106" t="s">
        <v>74</v>
      </c>
      <c r="S106" t="s">
        <v>74</v>
      </c>
      <c r="T106" t="s">
        <v>74</v>
      </c>
      <c r="U106" t="s">
        <v>1752</v>
      </c>
      <c r="V106" t="s">
        <v>1753</v>
      </c>
      <c r="W106" t="s">
        <v>1224</v>
      </c>
      <c r="X106" t="s">
        <v>1225</v>
      </c>
      <c r="Y106" t="s">
        <v>1226</v>
      </c>
      <c r="Z106" t="s">
        <v>1227</v>
      </c>
      <c r="AA106" t="s">
        <v>1754</v>
      </c>
      <c r="AB106" t="s">
        <v>74</v>
      </c>
      <c r="AC106" t="s">
        <v>74</v>
      </c>
      <c r="AD106" t="s">
        <v>74</v>
      </c>
      <c r="AE106" t="s">
        <v>74</v>
      </c>
      <c r="AF106" t="s">
        <v>74</v>
      </c>
      <c r="AG106">
        <v>14</v>
      </c>
      <c r="AH106">
        <v>34</v>
      </c>
      <c r="AI106">
        <v>61</v>
      </c>
      <c r="AJ106">
        <v>1</v>
      </c>
      <c r="AK106">
        <v>5</v>
      </c>
      <c r="AL106" t="s">
        <v>1755</v>
      </c>
      <c r="AM106" t="s">
        <v>1756</v>
      </c>
      <c r="AN106" t="s">
        <v>1757</v>
      </c>
      <c r="AO106" t="s">
        <v>1758</v>
      </c>
      <c r="AP106" t="s">
        <v>1759</v>
      </c>
      <c r="AQ106" t="s">
        <v>74</v>
      </c>
      <c r="AR106" t="s">
        <v>1760</v>
      </c>
      <c r="AS106" t="s">
        <v>1761</v>
      </c>
      <c r="AT106" t="s">
        <v>890</v>
      </c>
      <c r="AU106">
        <v>2004</v>
      </c>
      <c r="AV106">
        <v>146</v>
      </c>
      <c r="AW106">
        <v>1</v>
      </c>
      <c r="AX106" t="s">
        <v>74</v>
      </c>
      <c r="AY106" t="s">
        <v>74</v>
      </c>
      <c r="AZ106" t="s">
        <v>74</v>
      </c>
      <c r="BA106" t="s">
        <v>74</v>
      </c>
      <c r="BB106">
        <v>143</v>
      </c>
      <c r="BC106">
        <v>148</v>
      </c>
      <c r="BD106" t="s">
        <v>74</v>
      </c>
      <c r="BE106" t="s">
        <v>1762</v>
      </c>
      <c r="BF106" t="str">
        <f>HYPERLINK("http://dx.doi.org/10.1007/s00227-004-1425-4","http://dx.doi.org/10.1007/s00227-004-1425-4")</f>
        <v>http://dx.doi.org/10.1007/s00227-004-1425-4</v>
      </c>
      <c r="BG106" t="s">
        <v>74</v>
      </c>
      <c r="BH106" t="s">
        <v>74</v>
      </c>
      <c r="BI106">
        <v>6</v>
      </c>
      <c r="BJ106" t="s">
        <v>1763</v>
      </c>
      <c r="BK106" t="s">
        <v>139</v>
      </c>
      <c r="BL106" t="s">
        <v>1763</v>
      </c>
      <c r="BM106" t="s">
        <v>1764</v>
      </c>
      <c r="BN106" t="s">
        <v>74</v>
      </c>
      <c r="BO106" t="s">
        <v>74</v>
      </c>
      <c r="BP106" t="s">
        <v>74</v>
      </c>
      <c r="BQ106" t="s">
        <v>74</v>
      </c>
      <c r="BR106" t="s">
        <v>98</v>
      </c>
      <c r="BS106" t="s">
        <v>1765</v>
      </c>
      <c r="BT106" t="str">
        <f>HYPERLINK("https%3A%2F%2Fwww.webofscience.com%2Fwos%2Fwoscc%2Ffull-record%2FWOS:000225410400012","View Full Record in Web of Science")</f>
        <v>View Full Record in Web of Science</v>
      </c>
    </row>
    <row r="107" spans="1:72" x14ac:dyDescent="0.15">
      <c r="A107" t="s">
        <v>122</v>
      </c>
      <c r="B107" t="s">
        <v>1766</v>
      </c>
      <c r="C107" t="s">
        <v>74</v>
      </c>
      <c r="D107" t="s">
        <v>74</v>
      </c>
      <c r="E107" t="s">
        <v>74</v>
      </c>
      <c r="F107" t="s">
        <v>1766</v>
      </c>
      <c r="G107" t="s">
        <v>74</v>
      </c>
      <c r="H107" t="s">
        <v>74</v>
      </c>
      <c r="I107" t="s">
        <v>1767</v>
      </c>
      <c r="J107" t="s">
        <v>1751</v>
      </c>
      <c r="K107" t="s">
        <v>74</v>
      </c>
      <c r="L107" t="s">
        <v>74</v>
      </c>
      <c r="M107" t="s">
        <v>79</v>
      </c>
      <c r="N107" t="s">
        <v>126</v>
      </c>
      <c r="O107" t="s">
        <v>74</v>
      </c>
      <c r="P107" t="s">
        <v>74</v>
      </c>
      <c r="Q107" t="s">
        <v>74</v>
      </c>
      <c r="R107" t="s">
        <v>74</v>
      </c>
      <c r="S107" t="s">
        <v>74</v>
      </c>
      <c r="T107" t="s">
        <v>74</v>
      </c>
      <c r="U107" t="s">
        <v>1768</v>
      </c>
      <c r="V107" t="s">
        <v>1769</v>
      </c>
      <c r="W107" t="s">
        <v>1770</v>
      </c>
      <c r="X107" t="s">
        <v>1771</v>
      </c>
      <c r="Y107" t="s">
        <v>1772</v>
      </c>
      <c r="Z107" t="s">
        <v>1773</v>
      </c>
      <c r="AA107" t="s">
        <v>1774</v>
      </c>
      <c r="AB107" t="s">
        <v>1775</v>
      </c>
      <c r="AC107" t="s">
        <v>74</v>
      </c>
      <c r="AD107" t="s">
        <v>74</v>
      </c>
      <c r="AE107" t="s">
        <v>74</v>
      </c>
      <c r="AF107" t="s">
        <v>74</v>
      </c>
      <c r="AG107">
        <v>31</v>
      </c>
      <c r="AH107">
        <v>5</v>
      </c>
      <c r="AI107">
        <v>6</v>
      </c>
      <c r="AJ107">
        <v>0</v>
      </c>
      <c r="AK107">
        <v>11</v>
      </c>
      <c r="AL107" t="s">
        <v>1509</v>
      </c>
      <c r="AM107" t="s">
        <v>613</v>
      </c>
      <c r="AN107" t="s">
        <v>1776</v>
      </c>
      <c r="AO107" t="s">
        <v>1758</v>
      </c>
      <c r="AP107" t="s">
        <v>74</v>
      </c>
      <c r="AQ107" t="s">
        <v>74</v>
      </c>
      <c r="AR107" t="s">
        <v>1760</v>
      </c>
      <c r="AS107" t="s">
        <v>1761</v>
      </c>
      <c r="AT107" t="s">
        <v>890</v>
      </c>
      <c r="AU107">
        <v>2004</v>
      </c>
      <c r="AV107">
        <v>146</v>
      </c>
      <c r="AW107">
        <v>1</v>
      </c>
      <c r="AX107" t="s">
        <v>74</v>
      </c>
      <c r="AY107" t="s">
        <v>74</v>
      </c>
      <c r="AZ107" t="s">
        <v>74</v>
      </c>
      <c r="BA107" t="s">
        <v>74</v>
      </c>
      <c r="BB107">
        <v>191</v>
      </c>
      <c r="BC107">
        <v>199</v>
      </c>
      <c r="BD107" t="s">
        <v>74</v>
      </c>
      <c r="BE107" t="s">
        <v>1777</v>
      </c>
      <c r="BF107" t="str">
        <f>HYPERLINK("http://dx.doi.org/10.1007/s00227-004-1428-1","http://dx.doi.org/10.1007/s00227-004-1428-1")</f>
        <v>http://dx.doi.org/10.1007/s00227-004-1428-1</v>
      </c>
      <c r="BG107" t="s">
        <v>74</v>
      </c>
      <c r="BH107" t="s">
        <v>74</v>
      </c>
      <c r="BI107">
        <v>9</v>
      </c>
      <c r="BJ107" t="s">
        <v>1763</v>
      </c>
      <c r="BK107" t="s">
        <v>139</v>
      </c>
      <c r="BL107" t="s">
        <v>1763</v>
      </c>
      <c r="BM107" t="s">
        <v>1764</v>
      </c>
      <c r="BN107" t="s">
        <v>74</v>
      </c>
      <c r="BO107" t="s">
        <v>74</v>
      </c>
      <c r="BP107" t="s">
        <v>74</v>
      </c>
      <c r="BQ107" t="s">
        <v>74</v>
      </c>
      <c r="BR107" t="s">
        <v>98</v>
      </c>
      <c r="BS107" t="s">
        <v>1778</v>
      </c>
      <c r="BT107" t="str">
        <f>HYPERLINK("https%3A%2F%2Fwww.webofscience.com%2Fwos%2Fwoscc%2Ffull-record%2FWOS:000225410400017","View Full Record in Web of Science")</f>
        <v>View Full Record in Web of Science</v>
      </c>
    </row>
    <row r="108" spans="1:72" x14ac:dyDescent="0.15">
      <c r="A108" t="s">
        <v>122</v>
      </c>
      <c r="B108" t="s">
        <v>1779</v>
      </c>
      <c r="C108" t="s">
        <v>74</v>
      </c>
      <c r="D108" t="s">
        <v>74</v>
      </c>
      <c r="E108" t="s">
        <v>74</v>
      </c>
      <c r="F108" t="s">
        <v>1779</v>
      </c>
      <c r="G108" t="s">
        <v>74</v>
      </c>
      <c r="H108" t="s">
        <v>74</v>
      </c>
      <c r="I108" t="s">
        <v>1780</v>
      </c>
      <c r="J108" t="s">
        <v>1781</v>
      </c>
      <c r="K108" t="s">
        <v>74</v>
      </c>
      <c r="L108" t="s">
        <v>74</v>
      </c>
      <c r="M108" t="s">
        <v>79</v>
      </c>
      <c r="N108" t="s">
        <v>126</v>
      </c>
      <c r="O108" t="s">
        <v>74</v>
      </c>
      <c r="P108" t="s">
        <v>74</v>
      </c>
      <c r="Q108" t="s">
        <v>74</v>
      </c>
      <c r="R108" t="s">
        <v>74</v>
      </c>
      <c r="S108" t="s">
        <v>74</v>
      </c>
      <c r="T108" t="s">
        <v>1782</v>
      </c>
      <c r="U108" t="s">
        <v>1783</v>
      </c>
      <c r="V108" t="s">
        <v>1784</v>
      </c>
      <c r="W108" t="s">
        <v>1785</v>
      </c>
      <c r="X108" t="s">
        <v>1786</v>
      </c>
      <c r="Y108" t="s">
        <v>1787</v>
      </c>
      <c r="Z108" t="s">
        <v>1788</v>
      </c>
      <c r="AA108" t="s">
        <v>1789</v>
      </c>
      <c r="AB108" t="s">
        <v>1790</v>
      </c>
      <c r="AC108" t="s">
        <v>74</v>
      </c>
      <c r="AD108" t="s">
        <v>74</v>
      </c>
      <c r="AE108" t="s">
        <v>74</v>
      </c>
      <c r="AF108" t="s">
        <v>74</v>
      </c>
      <c r="AG108">
        <v>42</v>
      </c>
      <c r="AH108">
        <v>49</v>
      </c>
      <c r="AI108">
        <v>51</v>
      </c>
      <c r="AJ108">
        <v>0</v>
      </c>
      <c r="AK108">
        <v>24</v>
      </c>
      <c r="AL108" t="s">
        <v>1273</v>
      </c>
      <c r="AM108" t="s">
        <v>197</v>
      </c>
      <c r="AN108" t="s">
        <v>1274</v>
      </c>
      <c r="AO108" t="s">
        <v>1791</v>
      </c>
      <c r="AP108" t="s">
        <v>1792</v>
      </c>
      <c r="AQ108" t="s">
        <v>74</v>
      </c>
      <c r="AR108" t="s">
        <v>1793</v>
      </c>
      <c r="AS108" t="s">
        <v>1794</v>
      </c>
      <c r="AT108" t="s">
        <v>890</v>
      </c>
      <c r="AU108">
        <v>2004</v>
      </c>
      <c r="AV108">
        <v>49</v>
      </c>
      <c r="AW108" t="s">
        <v>851</v>
      </c>
      <c r="AX108" t="s">
        <v>74</v>
      </c>
      <c r="AY108" t="s">
        <v>74</v>
      </c>
      <c r="AZ108" t="s">
        <v>74</v>
      </c>
      <c r="BA108" t="s">
        <v>74</v>
      </c>
      <c r="BB108">
        <v>999</v>
      </c>
      <c r="BC108">
        <v>1005</v>
      </c>
      <c r="BD108" t="s">
        <v>74</v>
      </c>
      <c r="BE108" t="s">
        <v>1795</v>
      </c>
      <c r="BF108" t="str">
        <f>HYPERLINK("http://dx.doi.org/10.1016/j.marpolbul.2004.07.001","http://dx.doi.org/10.1016/j.marpolbul.2004.07.001")</f>
        <v>http://dx.doi.org/10.1016/j.marpolbul.2004.07.001</v>
      </c>
      <c r="BG108" t="s">
        <v>74</v>
      </c>
      <c r="BH108" t="s">
        <v>74</v>
      </c>
      <c r="BI108">
        <v>7</v>
      </c>
      <c r="BJ108" t="s">
        <v>1796</v>
      </c>
      <c r="BK108" t="s">
        <v>139</v>
      </c>
      <c r="BL108" t="s">
        <v>1797</v>
      </c>
      <c r="BM108" t="s">
        <v>1798</v>
      </c>
      <c r="BN108">
        <v>15556186</v>
      </c>
      <c r="BO108" t="s">
        <v>1799</v>
      </c>
      <c r="BP108" t="s">
        <v>74</v>
      </c>
      <c r="BQ108" t="s">
        <v>74</v>
      </c>
      <c r="BR108" t="s">
        <v>98</v>
      </c>
      <c r="BS108" t="s">
        <v>1800</v>
      </c>
      <c r="BT108" t="str">
        <f>HYPERLINK("https%3A%2F%2Fwww.webofscience.com%2Fwos%2Fwoscc%2Ffull-record%2FWOS:000225926700026","View Full Record in Web of Science")</f>
        <v>View Full Record in Web of Science</v>
      </c>
    </row>
    <row r="109" spans="1:72" x14ac:dyDescent="0.15">
      <c r="A109" t="s">
        <v>122</v>
      </c>
      <c r="B109" t="s">
        <v>1801</v>
      </c>
      <c r="C109" t="s">
        <v>74</v>
      </c>
      <c r="D109" t="s">
        <v>74</v>
      </c>
      <c r="E109" t="s">
        <v>74</v>
      </c>
      <c r="F109" t="s">
        <v>1801</v>
      </c>
      <c r="G109" t="s">
        <v>74</v>
      </c>
      <c r="H109" t="s">
        <v>74</v>
      </c>
      <c r="I109" t="s">
        <v>1802</v>
      </c>
      <c r="J109" t="s">
        <v>1781</v>
      </c>
      <c r="K109" t="s">
        <v>74</v>
      </c>
      <c r="L109" t="s">
        <v>74</v>
      </c>
      <c r="M109" t="s">
        <v>79</v>
      </c>
      <c r="N109" t="s">
        <v>126</v>
      </c>
      <c r="O109" t="s">
        <v>74</v>
      </c>
      <c r="P109" t="s">
        <v>74</v>
      </c>
      <c r="Q109" t="s">
        <v>74</v>
      </c>
      <c r="R109" t="s">
        <v>74</v>
      </c>
      <c r="S109" t="s">
        <v>74</v>
      </c>
      <c r="T109" t="s">
        <v>74</v>
      </c>
      <c r="U109" t="s">
        <v>1803</v>
      </c>
      <c r="V109" t="s">
        <v>74</v>
      </c>
      <c r="W109" t="s">
        <v>1804</v>
      </c>
      <c r="X109" t="s">
        <v>1805</v>
      </c>
      <c r="Y109" t="s">
        <v>1806</v>
      </c>
      <c r="Z109" t="s">
        <v>1807</v>
      </c>
      <c r="AA109" t="s">
        <v>74</v>
      </c>
      <c r="AB109" t="s">
        <v>74</v>
      </c>
      <c r="AC109" t="s">
        <v>74</v>
      </c>
      <c r="AD109" t="s">
        <v>74</v>
      </c>
      <c r="AE109" t="s">
        <v>74</v>
      </c>
      <c r="AF109" t="s">
        <v>74</v>
      </c>
      <c r="AG109">
        <v>12</v>
      </c>
      <c r="AH109">
        <v>29</v>
      </c>
      <c r="AI109">
        <v>32</v>
      </c>
      <c r="AJ109">
        <v>0</v>
      </c>
      <c r="AK109">
        <v>9</v>
      </c>
      <c r="AL109" t="s">
        <v>1273</v>
      </c>
      <c r="AM109" t="s">
        <v>197</v>
      </c>
      <c r="AN109" t="s">
        <v>1274</v>
      </c>
      <c r="AO109" t="s">
        <v>1791</v>
      </c>
      <c r="AP109" t="s">
        <v>1792</v>
      </c>
      <c r="AQ109" t="s">
        <v>74</v>
      </c>
      <c r="AR109" t="s">
        <v>1793</v>
      </c>
      <c r="AS109" t="s">
        <v>1794</v>
      </c>
      <c r="AT109" t="s">
        <v>890</v>
      </c>
      <c r="AU109">
        <v>2004</v>
      </c>
      <c r="AV109">
        <v>49</v>
      </c>
      <c r="AW109" t="s">
        <v>851</v>
      </c>
      <c r="AX109" t="s">
        <v>74</v>
      </c>
      <c r="AY109" t="s">
        <v>74</v>
      </c>
      <c r="AZ109" t="s">
        <v>74</v>
      </c>
      <c r="BA109" t="s">
        <v>74</v>
      </c>
      <c r="BB109">
        <v>1114</v>
      </c>
      <c r="BC109">
        <v>1119</v>
      </c>
      <c r="BD109" t="s">
        <v>74</v>
      </c>
      <c r="BE109" t="s">
        <v>1808</v>
      </c>
      <c r="BF109" t="str">
        <f>HYPERLINK("http://dx.doi.org/10.1016/j.marpolbul.2004.09.001","http://dx.doi.org/10.1016/j.marpolbul.2004.09.001")</f>
        <v>http://dx.doi.org/10.1016/j.marpolbul.2004.09.001</v>
      </c>
      <c r="BG109" t="s">
        <v>74</v>
      </c>
      <c r="BH109" t="s">
        <v>74</v>
      </c>
      <c r="BI109">
        <v>6</v>
      </c>
      <c r="BJ109" t="s">
        <v>1796</v>
      </c>
      <c r="BK109" t="s">
        <v>139</v>
      </c>
      <c r="BL109" t="s">
        <v>1797</v>
      </c>
      <c r="BM109" t="s">
        <v>1798</v>
      </c>
      <c r="BN109">
        <v>15556200</v>
      </c>
      <c r="BO109" t="s">
        <v>74</v>
      </c>
      <c r="BP109" t="s">
        <v>74</v>
      </c>
      <c r="BQ109" t="s">
        <v>74</v>
      </c>
      <c r="BR109" t="s">
        <v>98</v>
      </c>
      <c r="BS109" t="s">
        <v>1809</v>
      </c>
      <c r="BT109" t="str">
        <f>HYPERLINK("https%3A%2F%2Fwww.webofscience.com%2Fwos%2Fwoscc%2Ffull-record%2FWOS:000225926700040","View Full Record in Web of Science")</f>
        <v>View Full Record in Web of Science</v>
      </c>
    </row>
    <row r="110" spans="1:72" x14ac:dyDescent="0.15">
      <c r="A110" t="s">
        <v>122</v>
      </c>
      <c r="B110" t="s">
        <v>1810</v>
      </c>
      <c r="C110" t="s">
        <v>74</v>
      </c>
      <c r="D110" t="s">
        <v>74</v>
      </c>
      <c r="E110" t="s">
        <v>74</v>
      </c>
      <c r="F110" t="s">
        <v>1810</v>
      </c>
      <c r="G110" t="s">
        <v>74</v>
      </c>
      <c r="H110" t="s">
        <v>74</v>
      </c>
      <c r="I110" t="s">
        <v>1811</v>
      </c>
      <c r="J110" t="s">
        <v>1812</v>
      </c>
      <c r="K110" t="s">
        <v>74</v>
      </c>
      <c r="L110" t="s">
        <v>74</v>
      </c>
      <c r="M110" t="s">
        <v>79</v>
      </c>
      <c r="N110" t="s">
        <v>126</v>
      </c>
      <c r="O110" t="s">
        <v>74</v>
      </c>
      <c r="P110" t="s">
        <v>74</v>
      </c>
      <c r="Q110" t="s">
        <v>74</v>
      </c>
      <c r="R110" t="s">
        <v>74</v>
      </c>
      <c r="S110" t="s">
        <v>74</v>
      </c>
      <c r="T110" t="s">
        <v>74</v>
      </c>
      <c r="U110" t="s">
        <v>1813</v>
      </c>
      <c r="V110" t="s">
        <v>1814</v>
      </c>
      <c r="W110" t="s">
        <v>1815</v>
      </c>
      <c r="X110" t="s">
        <v>1816</v>
      </c>
      <c r="Y110" t="s">
        <v>1817</v>
      </c>
      <c r="Z110" t="s">
        <v>1818</v>
      </c>
      <c r="AA110" t="s">
        <v>1819</v>
      </c>
      <c r="AB110" t="s">
        <v>1820</v>
      </c>
      <c r="AC110" t="s">
        <v>74</v>
      </c>
      <c r="AD110" t="s">
        <v>74</v>
      </c>
      <c r="AE110" t="s">
        <v>74</v>
      </c>
      <c r="AF110" t="s">
        <v>74</v>
      </c>
      <c r="AG110">
        <v>61</v>
      </c>
      <c r="AH110">
        <v>51</v>
      </c>
      <c r="AI110">
        <v>59</v>
      </c>
      <c r="AJ110">
        <v>1</v>
      </c>
      <c r="AK110">
        <v>35</v>
      </c>
      <c r="AL110" t="s">
        <v>1509</v>
      </c>
      <c r="AM110" t="s">
        <v>613</v>
      </c>
      <c r="AN110" t="s">
        <v>1821</v>
      </c>
      <c r="AO110" t="s">
        <v>1822</v>
      </c>
      <c r="AP110" t="s">
        <v>1823</v>
      </c>
      <c r="AQ110" t="s">
        <v>74</v>
      </c>
      <c r="AR110" t="s">
        <v>1824</v>
      </c>
      <c r="AS110" t="s">
        <v>1825</v>
      </c>
      <c r="AT110" t="s">
        <v>890</v>
      </c>
      <c r="AU110">
        <v>2004</v>
      </c>
      <c r="AV110">
        <v>48</v>
      </c>
      <c r="AW110">
        <v>4</v>
      </c>
      <c r="AX110" t="s">
        <v>74</v>
      </c>
      <c r="AY110" t="s">
        <v>74</v>
      </c>
      <c r="AZ110" t="s">
        <v>74</v>
      </c>
      <c r="BA110" t="s">
        <v>74</v>
      </c>
      <c r="BB110">
        <v>509</v>
      </c>
      <c r="BC110">
        <v>520</v>
      </c>
      <c r="BD110" t="s">
        <v>74</v>
      </c>
      <c r="BE110" t="s">
        <v>1826</v>
      </c>
      <c r="BF110" t="str">
        <f>HYPERLINK("http://dx.doi.org/10.1007/s00248-004-0217-1","http://dx.doi.org/10.1007/s00248-004-0217-1")</f>
        <v>http://dx.doi.org/10.1007/s00248-004-0217-1</v>
      </c>
      <c r="BG110" t="s">
        <v>74</v>
      </c>
      <c r="BH110" t="s">
        <v>74</v>
      </c>
      <c r="BI110">
        <v>12</v>
      </c>
      <c r="BJ110" t="s">
        <v>515</v>
      </c>
      <c r="BK110" t="s">
        <v>139</v>
      </c>
      <c r="BL110" t="s">
        <v>516</v>
      </c>
      <c r="BM110" t="s">
        <v>1827</v>
      </c>
      <c r="BN110">
        <v>15696384</v>
      </c>
      <c r="BO110" t="s">
        <v>74</v>
      </c>
      <c r="BP110" t="s">
        <v>74</v>
      </c>
      <c r="BQ110" t="s">
        <v>74</v>
      </c>
      <c r="BR110" t="s">
        <v>98</v>
      </c>
      <c r="BS110" t="s">
        <v>1828</v>
      </c>
      <c r="BT110" t="str">
        <f>HYPERLINK("https%3A%2F%2Fwww.webofscience.com%2Fwos%2Fwoscc%2Ffull-record%2FWOS:000226829500007","View Full Record in Web of Science")</f>
        <v>View Full Record in Web of Science</v>
      </c>
    </row>
    <row r="111" spans="1:72" x14ac:dyDescent="0.15">
      <c r="A111" t="s">
        <v>122</v>
      </c>
      <c r="B111" t="s">
        <v>1829</v>
      </c>
      <c r="C111" t="s">
        <v>74</v>
      </c>
      <c r="D111" t="s">
        <v>74</v>
      </c>
      <c r="E111" t="s">
        <v>74</v>
      </c>
      <c r="F111" t="s">
        <v>1829</v>
      </c>
      <c r="G111" t="s">
        <v>74</v>
      </c>
      <c r="H111" t="s">
        <v>74</v>
      </c>
      <c r="I111" t="s">
        <v>1830</v>
      </c>
      <c r="J111" t="s">
        <v>1831</v>
      </c>
      <c r="K111" t="s">
        <v>74</v>
      </c>
      <c r="L111" t="s">
        <v>74</v>
      </c>
      <c r="M111" t="s">
        <v>79</v>
      </c>
      <c r="N111" t="s">
        <v>126</v>
      </c>
      <c r="O111" t="s">
        <v>74</v>
      </c>
      <c r="P111" t="s">
        <v>74</v>
      </c>
      <c r="Q111" t="s">
        <v>74</v>
      </c>
      <c r="R111" t="s">
        <v>74</v>
      </c>
      <c r="S111" t="s">
        <v>74</v>
      </c>
      <c r="T111" t="s">
        <v>1832</v>
      </c>
      <c r="U111" t="s">
        <v>1833</v>
      </c>
      <c r="V111" t="s">
        <v>1834</v>
      </c>
      <c r="W111" t="s">
        <v>1835</v>
      </c>
      <c r="X111" t="s">
        <v>1836</v>
      </c>
      <c r="Y111" t="s">
        <v>1837</v>
      </c>
      <c r="Z111" t="s">
        <v>1838</v>
      </c>
      <c r="AA111" t="s">
        <v>74</v>
      </c>
      <c r="AB111" t="s">
        <v>74</v>
      </c>
      <c r="AC111" t="s">
        <v>74</v>
      </c>
      <c r="AD111" t="s">
        <v>74</v>
      </c>
      <c r="AE111" t="s">
        <v>74</v>
      </c>
      <c r="AF111" t="s">
        <v>74</v>
      </c>
      <c r="AG111">
        <v>49</v>
      </c>
      <c r="AH111">
        <v>46</v>
      </c>
      <c r="AI111">
        <v>51</v>
      </c>
      <c r="AJ111">
        <v>1</v>
      </c>
      <c r="AK111">
        <v>15</v>
      </c>
      <c r="AL111" t="s">
        <v>196</v>
      </c>
      <c r="AM111" t="s">
        <v>197</v>
      </c>
      <c r="AN111" t="s">
        <v>198</v>
      </c>
      <c r="AO111" t="s">
        <v>1839</v>
      </c>
      <c r="AP111" t="s">
        <v>1840</v>
      </c>
      <c r="AQ111" t="s">
        <v>74</v>
      </c>
      <c r="AR111" t="s">
        <v>1841</v>
      </c>
      <c r="AS111" t="s">
        <v>1842</v>
      </c>
      <c r="AT111" t="s">
        <v>890</v>
      </c>
      <c r="AU111">
        <v>2004</v>
      </c>
      <c r="AV111">
        <v>21</v>
      </c>
      <c r="AW111">
        <v>12</v>
      </c>
      <c r="AX111" t="s">
        <v>74</v>
      </c>
      <c r="AY111" t="s">
        <v>74</v>
      </c>
      <c r="AZ111" t="s">
        <v>74</v>
      </c>
      <c r="BA111" t="s">
        <v>74</v>
      </c>
      <c r="BB111">
        <v>2246</v>
      </c>
      <c r="BC111">
        <v>2255</v>
      </c>
      <c r="BD111" t="s">
        <v>74</v>
      </c>
      <c r="BE111" t="s">
        <v>1843</v>
      </c>
      <c r="BF111" t="str">
        <f>HYPERLINK("http://dx.doi.org/10.1093/molbev/msh237","http://dx.doi.org/10.1093/molbev/msh237")</f>
        <v>http://dx.doi.org/10.1093/molbev/msh237</v>
      </c>
      <c r="BG111" t="s">
        <v>74</v>
      </c>
      <c r="BH111" t="s">
        <v>74</v>
      </c>
      <c r="BI111">
        <v>10</v>
      </c>
      <c r="BJ111" t="s">
        <v>1844</v>
      </c>
      <c r="BK111" t="s">
        <v>139</v>
      </c>
      <c r="BL111" t="s">
        <v>1844</v>
      </c>
      <c r="BM111" t="s">
        <v>1845</v>
      </c>
      <c r="BN111">
        <v>15317880</v>
      </c>
      <c r="BO111" t="s">
        <v>273</v>
      </c>
      <c r="BP111" t="s">
        <v>74</v>
      </c>
      <c r="BQ111" t="s">
        <v>74</v>
      </c>
      <c r="BR111" t="s">
        <v>98</v>
      </c>
      <c r="BS111" t="s">
        <v>1846</v>
      </c>
      <c r="BT111" t="str">
        <f>HYPERLINK("https%3A%2F%2Fwww.webofscience.com%2Fwos%2Fwoscc%2Ffull-record%2FWOS:000225074900006","View Full Record in Web of Science")</f>
        <v>View Full Record in Web of Science</v>
      </c>
    </row>
    <row r="112" spans="1:72" x14ac:dyDescent="0.15">
      <c r="A112" t="s">
        <v>122</v>
      </c>
      <c r="B112" t="s">
        <v>1847</v>
      </c>
      <c r="C112" t="s">
        <v>74</v>
      </c>
      <c r="D112" t="s">
        <v>74</v>
      </c>
      <c r="E112" t="s">
        <v>74</v>
      </c>
      <c r="F112" t="s">
        <v>1847</v>
      </c>
      <c r="G112" t="s">
        <v>74</v>
      </c>
      <c r="H112" t="s">
        <v>74</v>
      </c>
      <c r="I112" t="s">
        <v>1848</v>
      </c>
      <c r="J112" t="s">
        <v>1849</v>
      </c>
      <c r="K112" t="s">
        <v>74</v>
      </c>
      <c r="L112" t="s">
        <v>74</v>
      </c>
      <c r="M112" t="s">
        <v>79</v>
      </c>
      <c r="N112" t="s">
        <v>581</v>
      </c>
      <c r="O112" t="s">
        <v>74</v>
      </c>
      <c r="P112" t="s">
        <v>74</v>
      </c>
      <c r="Q112" t="s">
        <v>74</v>
      </c>
      <c r="R112" t="s">
        <v>74</v>
      </c>
      <c r="S112" t="s">
        <v>74</v>
      </c>
      <c r="T112" t="s">
        <v>1850</v>
      </c>
      <c r="U112" t="s">
        <v>1851</v>
      </c>
      <c r="V112" t="s">
        <v>1852</v>
      </c>
      <c r="W112" t="s">
        <v>1853</v>
      </c>
      <c r="X112" t="s">
        <v>1854</v>
      </c>
      <c r="Y112" t="s">
        <v>1855</v>
      </c>
      <c r="Z112" t="s">
        <v>1856</v>
      </c>
      <c r="AA112" t="s">
        <v>1857</v>
      </c>
      <c r="AB112" t="s">
        <v>1858</v>
      </c>
      <c r="AC112" t="s">
        <v>74</v>
      </c>
      <c r="AD112" t="s">
        <v>74</v>
      </c>
      <c r="AE112" t="s">
        <v>74</v>
      </c>
      <c r="AF112" t="s">
        <v>74</v>
      </c>
      <c r="AG112">
        <v>112</v>
      </c>
      <c r="AH112">
        <v>12</v>
      </c>
      <c r="AI112">
        <v>12</v>
      </c>
      <c r="AJ112">
        <v>0</v>
      </c>
      <c r="AK112">
        <v>10</v>
      </c>
      <c r="AL112" t="s">
        <v>1644</v>
      </c>
      <c r="AM112" t="s">
        <v>1645</v>
      </c>
      <c r="AN112" t="s">
        <v>1859</v>
      </c>
      <c r="AO112" t="s">
        <v>1860</v>
      </c>
      <c r="AP112" t="s">
        <v>74</v>
      </c>
      <c r="AQ112" t="s">
        <v>74</v>
      </c>
      <c r="AR112" t="s">
        <v>1861</v>
      </c>
      <c r="AS112" t="s">
        <v>1862</v>
      </c>
      <c r="AT112" t="s">
        <v>890</v>
      </c>
      <c r="AU112">
        <v>2004</v>
      </c>
      <c r="AV112">
        <v>47</v>
      </c>
      <c r="AW112">
        <v>4</v>
      </c>
      <c r="AX112" t="s">
        <v>74</v>
      </c>
      <c r="AY112" t="s">
        <v>74</v>
      </c>
      <c r="AZ112" t="s">
        <v>74</v>
      </c>
      <c r="BA112" t="s">
        <v>74</v>
      </c>
      <c r="BB112">
        <v>787</v>
      </c>
      <c r="BC112">
        <v>807</v>
      </c>
      <c r="BD112" t="s">
        <v>74</v>
      </c>
      <c r="BE112" t="s">
        <v>1863</v>
      </c>
      <c r="BF112" t="str">
        <f>HYPERLINK("http://dx.doi.org/10.1080/00288306.2004.9515089","http://dx.doi.org/10.1080/00288306.2004.9515089")</f>
        <v>http://dx.doi.org/10.1080/00288306.2004.9515089</v>
      </c>
      <c r="BG112" t="s">
        <v>74</v>
      </c>
      <c r="BH112" t="s">
        <v>74</v>
      </c>
      <c r="BI112">
        <v>21</v>
      </c>
      <c r="BJ112" t="s">
        <v>1864</v>
      </c>
      <c r="BK112" t="s">
        <v>139</v>
      </c>
      <c r="BL112" t="s">
        <v>249</v>
      </c>
      <c r="BM112" t="s">
        <v>1865</v>
      </c>
      <c r="BN112" t="s">
        <v>74</v>
      </c>
      <c r="BO112" t="s">
        <v>1866</v>
      </c>
      <c r="BP112" t="s">
        <v>74</v>
      </c>
      <c r="BQ112" t="s">
        <v>74</v>
      </c>
      <c r="BR112" t="s">
        <v>98</v>
      </c>
      <c r="BS112" t="s">
        <v>1867</v>
      </c>
      <c r="BT112" t="str">
        <f>HYPERLINK("https%3A%2F%2Fwww.webofscience.com%2Fwos%2Fwoscc%2Ffull-record%2FWOS:000226454200012","View Full Record in Web of Science")</f>
        <v>View Full Record in Web of Science</v>
      </c>
    </row>
    <row r="113" spans="1:72" x14ac:dyDescent="0.15">
      <c r="A113" t="s">
        <v>122</v>
      </c>
      <c r="B113" t="s">
        <v>1868</v>
      </c>
      <c r="C113" t="s">
        <v>74</v>
      </c>
      <c r="D113" t="s">
        <v>74</v>
      </c>
      <c r="E113" t="s">
        <v>74</v>
      </c>
      <c r="F113" t="s">
        <v>1868</v>
      </c>
      <c r="G113" t="s">
        <v>74</v>
      </c>
      <c r="H113" t="s">
        <v>74</v>
      </c>
      <c r="I113" t="s">
        <v>1869</v>
      </c>
      <c r="J113" t="s">
        <v>1870</v>
      </c>
      <c r="K113" t="s">
        <v>74</v>
      </c>
      <c r="L113" t="s">
        <v>74</v>
      </c>
      <c r="M113" t="s">
        <v>79</v>
      </c>
      <c r="N113" t="s">
        <v>126</v>
      </c>
      <c r="O113" t="s">
        <v>74</v>
      </c>
      <c r="P113" t="s">
        <v>74</v>
      </c>
      <c r="Q113" t="s">
        <v>74</v>
      </c>
      <c r="R113" t="s">
        <v>74</v>
      </c>
      <c r="S113" t="s">
        <v>74</v>
      </c>
      <c r="T113" t="s">
        <v>1871</v>
      </c>
      <c r="U113" t="s">
        <v>1872</v>
      </c>
      <c r="V113" t="s">
        <v>1873</v>
      </c>
      <c r="W113" t="s">
        <v>1874</v>
      </c>
      <c r="X113" t="s">
        <v>1875</v>
      </c>
      <c r="Y113" t="s">
        <v>1876</v>
      </c>
      <c r="Z113" t="s">
        <v>1877</v>
      </c>
      <c r="AA113" t="s">
        <v>74</v>
      </c>
      <c r="AB113" t="s">
        <v>74</v>
      </c>
      <c r="AC113" t="s">
        <v>74</v>
      </c>
      <c r="AD113" t="s">
        <v>74</v>
      </c>
      <c r="AE113" t="s">
        <v>74</v>
      </c>
      <c r="AF113" t="s">
        <v>74</v>
      </c>
      <c r="AG113">
        <v>66</v>
      </c>
      <c r="AH113">
        <v>14</v>
      </c>
      <c r="AI113">
        <v>15</v>
      </c>
      <c r="AJ113">
        <v>0</v>
      </c>
      <c r="AK113">
        <v>1</v>
      </c>
      <c r="AL113" t="s">
        <v>1870</v>
      </c>
      <c r="AM113" t="s">
        <v>1878</v>
      </c>
      <c r="AN113" t="s">
        <v>1879</v>
      </c>
      <c r="AO113" t="s">
        <v>1880</v>
      </c>
      <c r="AP113" t="s">
        <v>74</v>
      </c>
      <c r="AQ113" t="s">
        <v>74</v>
      </c>
      <c r="AR113" t="s">
        <v>1870</v>
      </c>
      <c r="AS113" t="s">
        <v>1881</v>
      </c>
      <c r="AT113" t="s">
        <v>890</v>
      </c>
      <c r="AU113">
        <v>2004</v>
      </c>
      <c r="AV113">
        <v>29</v>
      </c>
      <c r="AW113">
        <v>2</v>
      </c>
      <c r="AX113" t="s">
        <v>74</v>
      </c>
      <c r="AY113" t="s">
        <v>74</v>
      </c>
      <c r="AZ113" t="s">
        <v>74</v>
      </c>
      <c r="BA113" t="s">
        <v>74</v>
      </c>
      <c r="BB113">
        <v>231</v>
      </c>
      <c r="BC113">
        <v>241</v>
      </c>
      <c r="BD113" t="s">
        <v>74</v>
      </c>
      <c r="BE113" t="s">
        <v>74</v>
      </c>
      <c r="BF113" t="s">
        <v>74</v>
      </c>
      <c r="BG113" t="s">
        <v>74</v>
      </c>
      <c r="BH113" t="s">
        <v>74</v>
      </c>
      <c r="BI113">
        <v>11</v>
      </c>
      <c r="BJ113" t="s">
        <v>249</v>
      </c>
      <c r="BK113" t="s">
        <v>139</v>
      </c>
      <c r="BL113" t="s">
        <v>249</v>
      </c>
      <c r="BM113" t="s">
        <v>1882</v>
      </c>
      <c r="BN113" t="s">
        <v>74</v>
      </c>
      <c r="BO113" t="s">
        <v>74</v>
      </c>
      <c r="BP113" t="s">
        <v>74</v>
      </c>
      <c r="BQ113" t="s">
        <v>74</v>
      </c>
      <c r="BR113" t="s">
        <v>98</v>
      </c>
      <c r="BS113" t="s">
        <v>1883</v>
      </c>
      <c r="BT113" t="str">
        <f>HYPERLINK("https%3A%2F%2Fwww.webofscience.com%2Fwos%2Fwoscc%2Ffull-record%2FWOS:000226145100008","View Full Record in Web of Science")</f>
        <v>View Full Record in Web of Science</v>
      </c>
    </row>
    <row r="114" spans="1:72" x14ac:dyDescent="0.15">
      <c r="A114" t="s">
        <v>122</v>
      </c>
      <c r="B114" t="s">
        <v>1884</v>
      </c>
      <c r="C114" t="s">
        <v>74</v>
      </c>
      <c r="D114" t="s">
        <v>74</v>
      </c>
      <c r="E114" t="s">
        <v>74</v>
      </c>
      <c r="F114" t="s">
        <v>1884</v>
      </c>
      <c r="G114" t="s">
        <v>74</v>
      </c>
      <c r="H114" t="s">
        <v>74</v>
      </c>
      <c r="I114" t="s">
        <v>1885</v>
      </c>
      <c r="J114" t="s">
        <v>1886</v>
      </c>
      <c r="K114" t="s">
        <v>74</v>
      </c>
      <c r="L114" t="s">
        <v>74</v>
      </c>
      <c r="M114" t="s">
        <v>79</v>
      </c>
      <c r="N114" t="s">
        <v>1129</v>
      </c>
      <c r="O114" t="s">
        <v>1887</v>
      </c>
      <c r="P114" t="s">
        <v>1888</v>
      </c>
      <c r="Q114" t="s">
        <v>1889</v>
      </c>
      <c r="R114" t="s">
        <v>74</v>
      </c>
      <c r="S114" t="s">
        <v>74</v>
      </c>
      <c r="T114" t="s">
        <v>74</v>
      </c>
      <c r="U114" t="s">
        <v>1890</v>
      </c>
      <c r="V114" t="s">
        <v>1891</v>
      </c>
      <c r="W114" t="s">
        <v>1892</v>
      </c>
      <c r="X114" t="s">
        <v>1893</v>
      </c>
      <c r="Y114" t="s">
        <v>1894</v>
      </c>
      <c r="Z114" t="s">
        <v>1895</v>
      </c>
      <c r="AA114" t="s">
        <v>1896</v>
      </c>
      <c r="AB114" t="s">
        <v>1897</v>
      </c>
      <c r="AC114" t="s">
        <v>74</v>
      </c>
      <c r="AD114" t="s">
        <v>74</v>
      </c>
      <c r="AE114" t="s">
        <v>74</v>
      </c>
      <c r="AF114" t="s">
        <v>74</v>
      </c>
      <c r="AG114">
        <v>31</v>
      </c>
      <c r="AH114">
        <v>13</v>
      </c>
      <c r="AI114">
        <v>13</v>
      </c>
      <c r="AJ114">
        <v>0</v>
      </c>
      <c r="AK114">
        <v>2</v>
      </c>
      <c r="AL114" t="s">
        <v>1166</v>
      </c>
      <c r="AM114" t="s">
        <v>1167</v>
      </c>
      <c r="AN114" t="s">
        <v>1168</v>
      </c>
      <c r="AO114" t="s">
        <v>1898</v>
      </c>
      <c r="AP114" t="s">
        <v>1899</v>
      </c>
      <c r="AQ114" t="s">
        <v>74</v>
      </c>
      <c r="AR114" t="s">
        <v>1900</v>
      </c>
      <c r="AS114" t="s">
        <v>1901</v>
      </c>
      <c r="AT114" t="s">
        <v>890</v>
      </c>
      <c r="AU114">
        <v>2004</v>
      </c>
      <c r="AV114">
        <v>46</v>
      </c>
      <c r="AW114" t="s">
        <v>74</v>
      </c>
      <c r="AX114" t="s">
        <v>74</v>
      </c>
      <c r="AY114" t="s">
        <v>1902</v>
      </c>
      <c r="AZ114" t="s">
        <v>1903</v>
      </c>
      <c r="BA114" t="s">
        <v>74</v>
      </c>
      <c r="BB114" t="s">
        <v>1904</v>
      </c>
      <c r="BC114" t="s">
        <v>1905</v>
      </c>
      <c r="BD114" t="s">
        <v>74</v>
      </c>
      <c r="BE114" t="s">
        <v>1906</v>
      </c>
      <c r="BF114" t="str">
        <f>HYPERLINK("http://dx.doi.org/10.1088/0741-3335/46/12B/014","http://dx.doi.org/10.1088/0741-3335/46/12B/014")</f>
        <v>http://dx.doi.org/10.1088/0741-3335/46/12B/014</v>
      </c>
      <c r="BG114" t="s">
        <v>74</v>
      </c>
      <c r="BH114" t="s">
        <v>74</v>
      </c>
      <c r="BI114">
        <v>10</v>
      </c>
      <c r="BJ114" t="s">
        <v>1907</v>
      </c>
      <c r="BK114" t="s">
        <v>1257</v>
      </c>
      <c r="BL114" t="s">
        <v>1471</v>
      </c>
      <c r="BM114" t="s">
        <v>1908</v>
      </c>
      <c r="BN114" t="s">
        <v>74</v>
      </c>
      <c r="BO114" t="s">
        <v>74</v>
      </c>
      <c r="BP114" t="s">
        <v>74</v>
      </c>
      <c r="BQ114" t="s">
        <v>74</v>
      </c>
      <c r="BR114" t="s">
        <v>98</v>
      </c>
      <c r="BS114" t="s">
        <v>1909</v>
      </c>
      <c r="BT114" t="str">
        <f>HYPERLINK("https%3A%2F%2Fwww.webofscience.com%2Fwos%2Fwoscc%2Ffull-record%2FWOS:000226806300016","View Full Record in Web of Science")</f>
        <v>View Full Record in Web of Science</v>
      </c>
    </row>
    <row r="115" spans="1:72" x14ac:dyDescent="0.15">
      <c r="A115" t="s">
        <v>122</v>
      </c>
      <c r="B115" t="s">
        <v>1910</v>
      </c>
      <c r="C115" t="s">
        <v>74</v>
      </c>
      <c r="D115" t="s">
        <v>74</v>
      </c>
      <c r="E115" t="s">
        <v>74</v>
      </c>
      <c r="F115" t="s">
        <v>1910</v>
      </c>
      <c r="G115" t="s">
        <v>74</v>
      </c>
      <c r="H115" t="s">
        <v>74</v>
      </c>
      <c r="I115" t="s">
        <v>1911</v>
      </c>
      <c r="J115" t="s">
        <v>1912</v>
      </c>
      <c r="K115" t="s">
        <v>74</v>
      </c>
      <c r="L115" t="s">
        <v>74</v>
      </c>
      <c r="M115" t="s">
        <v>79</v>
      </c>
      <c r="N115" t="s">
        <v>126</v>
      </c>
      <c r="O115" t="s">
        <v>74</v>
      </c>
      <c r="P115" t="s">
        <v>74</v>
      </c>
      <c r="Q115" t="s">
        <v>74</v>
      </c>
      <c r="R115" t="s">
        <v>74</v>
      </c>
      <c r="S115" t="s">
        <v>74</v>
      </c>
      <c r="T115" t="s">
        <v>74</v>
      </c>
      <c r="U115" t="s">
        <v>1913</v>
      </c>
      <c r="V115" t="s">
        <v>1914</v>
      </c>
      <c r="W115" t="s">
        <v>1915</v>
      </c>
      <c r="X115" t="s">
        <v>1916</v>
      </c>
      <c r="Y115" t="s">
        <v>1917</v>
      </c>
      <c r="Z115" t="s">
        <v>1918</v>
      </c>
      <c r="AA115" t="s">
        <v>1919</v>
      </c>
      <c r="AB115" t="s">
        <v>1920</v>
      </c>
      <c r="AC115" t="s">
        <v>74</v>
      </c>
      <c r="AD115" t="s">
        <v>74</v>
      </c>
      <c r="AE115" t="s">
        <v>74</v>
      </c>
      <c r="AF115" t="s">
        <v>74</v>
      </c>
      <c r="AG115">
        <v>57</v>
      </c>
      <c r="AH115">
        <v>12</v>
      </c>
      <c r="AI115">
        <v>12</v>
      </c>
      <c r="AJ115">
        <v>0</v>
      </c>
      <c r="AK115">
        <v>3</v>
      </c>
      <c r="AL115" t="s">
        <v>1509</v>
      </c>
      <c r="AM115" t="s">
        <v>613</v>
      </c>
      <c r="AN115" t="s">
        <v>1776</v>
      </c>
      <c r="AO115" t="s">
        <v>1921</v>
      </c>
      <c r="AP115" t="s">
        <v>74</v>
      </c>
      <c r="AQ115" t="s">
        <v>74</v>
      </c>
      <c r="AR115" t="s">
        <v>1922</v>
      </c>
      <c r="AS115" t="s">
        <v>1923</v>
      </c>
      <c r="AT115" t="s">
        <v>890</v>
      </c>
      <c r="AU115">
        <v>2004</v>
      </c>
      <c r="AV115">
        <v>28</v>
      </c>
      <c r="AW115">
        <v>1</v>
      </c>
      <c r="AX115" t="s">
        <v>74</v>
      </c>
      <c r="AY115" t="s">
        <v>74</v>
      </c>
      <c r="AZ115" t="s">
        <v>74</v>
      </c>
      <c r="BA115" t="s">
        <v>74</v>
      </c>
      <c r="BB115">
        <v>1</v>
      </c>
      <c r="BC115">
        <v>14</v>
      </c>
      <c r="BD115" t="s">
        <v>74</v>
      </c>
      <c r="BE115" t="s">
        <v>1924</v>
      </c>
      <c r="BF115" t="str">
        <f>HYPERLINK("http://dx.doi.org/10.1007/s00300-004-0646-9","http://dx.doi.org/10.1007/s00300-004-0646-9")</f>
        <v>http://dx.doi.org/10.1007/s00300-004-0646-9</v>
      </c>
      <c r="BG115" t="s">
        <v>74</v>
      </c>
      <c r="BH115" t="s">
        <v>74</v>
      </c>
      <c r="BI115">
        <v>14</v>
      </c>
      <c r="BJ115" t="s">
        <v>1491</v>
      </c>
      <c r="BK115" t="s">
        <v>139</v>
      </c>
      <c r="BL115" t="s">
        <v>1337</v>
      </c>
      <c r="BM115" t="s">
        <v>1925</v>
      </c>
      <c r="BN115" t="s">
        <v>74</v>
      </c>
      <c r="BO115" t="s">
        <v>74</v>
      </c>
      <c r="BP115" t="s">
        <v>74</v>
      </c>
      <c r="BQ115" t="s">
        <v>74</v>
      </c>
      <c r="BR115" t="s">
        <v>98</v>
      </c>
      <c r="BS115" t="s">
        <v>1926</v>
      </c>
      <c r="BT115" t="str">
        <f>HYPERLINK("https%3A%2F%2Fwww.webofscience.com%2Fwos%2Fwoscc%2Ffull-record%2FWOS:000226552800001","View Full Record in Web of Science")</f>
        <v>View Full Record in Web of Science</v>
      </c>
    </row>
    <row r="116" spans="1:72" x14ac:dyDescent="0.15">
      <c r="A116" t="s">
        <v>122</v>
      </c>
      <c r="B116" t="s">
        <v>1927</v>
      </c>
      <c r="C116" t="s">
        <v>74</v>
      </c>
      <c r="D116" t="s">
        <v>74</v>
      </c>
      <c r="E116" t="s">
        <v>74</v>
      </c>
      <c r="F116" t="s">
        <v>1927</v>
      </c>
      <c r="G116" t="s">
        <v>74</v>
      </c>
      <c r="H116" t="s">
        <v>74</v>
      </c>
      <c r="I116" t="s">
        <v>1928</v>
      </c>
      <c r="J116" t="s">
        <v>1912</v>
      </c>
      <c r="K116" t="s">
        <v>74</v>
      </c>
      <c r="L116" t="s">
        <v>74</v>
      </c>
      <c r="M116" t="s">
        <v>79</v>
      </c>
      <c r="N116" t="s">
        <v>126</v>
      </c>
      <c r="O116" t="s">
        <v>74</v>
      </c>
      <c r="P116" t="s">
        <v>74</v>
      </c>
      <c r="Q116" t="s">
        <v>74</v>
      </c>
      <c r="R116" t="s">
        <v>74</v>
      </c>
      <c r="S116" t="s">
        <v>74</v>
      </c>
      <c r="T116" t="s">
        <v>74</v>
      </c>
      <c r="U116" t="s">
        <v>1929</v>
      </c>
      <c r="V116" t="s">
        <v>1930</v>
      </c>
      <c r="W116" t="s">
        <v>1931</v>
      </c>
      <c r="X116" t="s">
        <v>1932</v>
      </c>
      <c r="Y116" t="s">
        <v>1933</v>
      </c>
      <c r="Z116" t="s">
        <v>1934</v>
      </c>
      <c r="AA116" t="s">
        <v>1935</v>
      </c>
      <c r="AB116" t="s">
        <v>1936</v>
      </c>
      <c r="AC116" t="s">
        <v>74</v>
      </c>
      <c r="AD116" t="s">
        <v>74</v>
      </c>
      <c r="AE116" t="s">
        <v>74</v>
      </c>
      <c r="AF116" t="s">
        <v>74</v>
      </c>
      <c r="AG116">
        <v>30</v>
      </c>
      <c r="AH116">
        <v>19</v>
      </c>
      <c r="AI116">
        <v>23</v>
      </c>
      <c r="AJ116">
        <v>0</v>
      </c>
      <c r="AK116">
        <v>5</v>
      </c>
      <c r="AL116" t="s">
        <v>1509</v>
      </c>
      <c r="AM116" t="s">
        <v>613</v>
      </c>
      <c r="AN116" t="s">
        <v>1821</v>
      </c>
      <c r="AO116" t="s">
        <v>1921</v>
      </c>
      <c r="AP116" t="s">
        <v>1937</v>
      </c>
      <c r="AQ116" t="s">
        <v>74</v>
      </c>
      <c r="AR116" t="s">
        <v>1922</v>
      </c>
      <c r="AS116" t="s">
        <v>1923</v>
      </c>
      <c r="AT116" t="s">
        <v>890</v>
      </c>
      <c r="AU116">
        <v>2004</v>
      </c>
      <c r="AV116">
        <v>28</v>
      </c>
      <c r="AW116">
        <v>1</v>
      </c>
      <c r="AX116" t="s">
        <v>74</v>
      </c>
      <c r="AY116" t="s">
        <v>74</v>
      </c>
      <c r="AZ116" t="s">
        <v>74</v>
      </c>
      <c r="BA116" t="s">
        <v>74</v>
      </c>
      <c r="BB116">
        <v>15</v>
      </c>
      <c r="BC116">
        <v>25</v>
      </c>
      <c r="BD116" t="s">
        <v>74</v>
      </c>
      <c r="BE116" t="s">
        <v>1938</v>
      </c>
      <c r="BF116" t="str">
        <f>HYPERLINK("http://dx.doi.org/10.1007/s00300-004-0638-9","http://dx.doi.org/10.1007/s00300-004-0638-9")</f>
        <v>http://dx.doi.org/10.1007/s00300-004-0638-9</v>
      </c>
      <c r="BG116" t="s">
        <v>74</v>
      </c>
      <c r="BH116" t="s">
        <v>74</v>
      </c>
      <c r="BI116">
        <v>11</v>
      </c>
      <c r="BJ116" t="s">
        <v>1491</v>
      </c>
      <c r="BK116" t="s">
        <v>139</v>
      </c>
      <c r="BL116" t="s">
        <v>1337</v>
      </c>
      <c r="BM116" t="s">
        <v>1925</v>
      </c>
      <c r="BN116" t="s">
        <v>74</v>
      </c>
      <c r="BO116" t="s">
        <v>74</v>
      </c>
      <c r="BP116" t="s">
        <v>74</v>
      </c>
      <c r="BQ116" t="s">
        <v>74</v>
      </c>
      <c r="BR116" t="s">
        <v>98</v>
      </c>
      <c r="BS116" t="s">
        <v>1939</v>
      </c>
      <c r="BT116" t="str">
        <f>HYPERLINK("https%3A%2F%2Fwww.webofscience.com%2Fwos%2Fwoscc%2Ffull-record%2FWOS:000226552800002","View Full Record in Web of Science")</f>
        <v>View Full Record in Web of Science</v>
      </c>
    </row>
    <row r="117" spans="1:72" x14ac:dyDescent="0.15">
      <c r="A117" t="s">
        <v>122</v>
      </c>
      <c r="B117" t="s">
        <v>1940</v>
      </c>
      <c r="C117" t="s">
        <v>74</v>
      </c>
      <c r="D117" t="s">
        <v>74</v>
      </c>
      <c r="E117" t="s">
        <v>74</v>
      </c>
      <c r="F117" t="s">
        <v>1940</v>
      </c>
      <c r="G117" t="s">
        <v>74</v>
      </c>
      <c r="H117" t="s">
        <v>74</v>
      </c>
      <c r="I117" t="s">
        <v>1941</v>
      </c>
      <c r="J117" t="s">
        <v>1912</v>
      </c>
      <c r="K117" t="s">
        <v>74</v>
      </c>
      <c r="L117" t="s">
        <v>74</v>
      </c>
      <c r="M117" t="s">
        <v>79</v>
      </c>
      <c r="N117" t="s">
        <v>126</v>
      </c>
      <c r="O117" t="s">
        <v>74</v>
      </c>
      <c r="P117" t="s">
        <v>74</v>
      </c>
      <c r="Q117" t="s">
        <v>74</v>
      </c>
      <c r="R117" t="s">
        <v>74</v>
      </c>
      <c r="S117" t="s">
        <v>74</v>
      </c>
      <c r="T117" t="s">
        <v>74</v>
      </c>
      <c r="U117" t="s">
        <v>1942</v>
      </c>
      <c r="V117" t="s">
        <v>1943</v>
      </c>
      <c r="W117" t="s">
        <v>1944</v>
      </c>
      <c r="X117" t="s">
        <v>1945</v>
      </c>
      <c r="Y117" t="s">
        <v>1946</v>
      </c>
      <c r="Z117" t="s">
        <v>1947</v>
      </c>
      <c r="AA117" t="s">
        <v>74</v>
      </c>
      <c r="AB117" t="s">
        <v>74</v>
      </c>
      <c r="AC117" t="s">
        <v>74</v>
      </c>
      <c r="AD117" t="s">
        <v>74</v>
      </c>
      <c r="AE117" t="s">
        <v>74</v>
      </c>
      <c r="AF117" t="s">
        <v>74</v>
      </c>
      <c r="AG117">
        <v>36</v>
      </c>
      <c r="AH117">
        <v>16</v>
      </c>
      <c r="AI117">
        <v>20</v>
      </c>
      <c r="AJ117">
        <v>0</v>
      </c>
      <c r="AK117">
        <v>10</v>
      </c>
      <c r="AL117" t="s">
        <v>1509</v>
      </c>
      <c r="AM117" t="s">
        <v>613</v>
      </c>
      <c r="AN117" t="s">
        <v>1948</v>
      </c>
      <c r="AO117" t="s">
        <v>1921</v>
      </c>
      <c r="AP117" t="s">
        <v>1937</v>
      </c>
      <c r="AQ117" t="s">
        <v>74</v>
      </c>
      <c r="AR117" t="s">
        <v>1922</v>
      </c>
      <c r="AS117" t="s">
        <v>1923</v>
      </c>
      <c r="AT117" t="s">
        <v>890</v>
      </c>
      <c r="AU117">
        <v>2004</v>
      </c>
      <c r="AV117">
        <v>28</v>
      </c>
      <c r="AW117">
        <v>1</v>
      </c>
      <c r="AX117" t="s">
        <v>74</v>
      </c>
      <c r="AY117" t="s">
        <v>74</v>
      </c>
      <c r="AZ117" t="s">
        <v>74</v>
      </c>
      <c r="BA117" t="s">
        <v>74</v>
      </c>
      <c r="BB117">
        <v>39</v>
      </c>
      <c r="BC117">
        <v>46</v>
      </c>
      <c r="BD117" t="s">
        <v>74</v>
      </c>
      <c r="BE117" t="s">
        <v>1949</v>
      </c>
      <c r="BF117" t="str">
        <f>HYPERLINK("http://dx.doi.org/10.1007/s00300-004-0644-y","http://dx.doi.org/10.1007/s00300-004-0644-y")</f>
        <v>http://dx.doi.org/10.1007/s00300-004-0644-y</v>
      </c>
      <c r="BG117" t="s">
        <v>74</v>
      </c>
      <c r="BH117" t="s">
        <v>74</v>
      </c>
      <c r="BI117">
        <v>8</v>
      </c>
      <c r="BJ117" t="s">
        <v>1491</v>
      </c>
      <c r="BK117" t="s">
        <v>139</v>
      </c>
      <c r="BL117" t="s">
        <v>1337</v>
      </c>
      <c r="BM117" t="s">
        <v>1925</v>
      </c>
      <c r="BN117" t="s">
        <v>74</v>
      </c>
      <c r="BO117" t="s">
        <v>74</v>
      </c>
      <c r="BP117" t="s">
        <v>74</v>
      </c>
      <c r="BQ117" t="s">
        <v>74</v>
      </c>
      <c r="BR117" t="s">
        <v>98</v>
      </c>
      <c r="BS117" t="s">
        <v>1950</v>
      </c>
      <c r="BT117" t="str">
        <f>HYPERLINK("https%3A%2F%2Fwww.webofscience.com%2Fwos%2Fwoscc%2Ffull-record%2FWOS:000226552800004","View Full Record in Web of Science")</f>
        <v>View Full Record in Web of Science</v>
      </c>
    </row>
    <row r="118" spans="1:72" x14ac:dyDescent="0.15">
      <c r="A118" t="s">
        <v>122</v>
      </c>
      <c r="B118" t="s">
        <v>1951</v>
      </c>
      <c r="C118" t="s">
        <v>74</v>
      </c>
      <c r="D118" t="s">
        <v>74</v>
      </c>
      <c r="E118" t="s">
        <v>74</v>
      </c>
      <c r="F118" t="s">
        <v>1951</v>
      </c>
      <c r="G118" t="s">
        <v>74</v>
      </c>
      <c r="H118" t="s">
        <v>74</v>
      </c>
      <c r="I118" t="s">
        <v>1952</v>
      </c>
      <c r="J118" t="s">
        <v>1912</v>
      </c>
      <c r="K118" t="s">
        <v>74</v>
      </c>
      <c r="L118" t="s">
        <v>74</v>
      </c>
      <c r="M118" t="s">
        <v>79</v>
      </c>
      <c r="N118" t="s">
        <v>126</v>
      </c>
      <c r="O118" t="s">
        <v>74</v>
      </c>
      <c r="P118" t="s">
        <v>74</v>
      </c>
      <c r="Q118" t="s">
        <v>74</v>
      </c>
      <c r="R118" t="s">
        <v>74</v>
      </c>
      <c r="S118" t="s">
        <v>74</v>
      </c>
      <c r="T118" t="s">
        <v>74</v>
      </c>
      <c r="U118" t="s">
        <v>1953</v>
      </c>
      <c r="V118" t="s">
        <v>1954</v>
      </c>
      <c r="W118" t="s">
        <v>1955</v>
      </c>
      <c r="X118" t="s">
        <v>1956</v>
      </c>
      <c r="Y118" t="s">
        <v>1957</v>
      </c>
      <c r="Z118" t="s">
        <v>1958</v>
      </c>
      <c r="AA118" t="s">
        <v>1959</v>
      </c>
      <c r="AB118" t="s">
        <v>74</v>
      </c>
      <c r="AC118" t="s">
        <v>74</v>
      </c>
      <c r="AD118" t="s">
        <v>74</v>
      </c>
      <c r="AE118" t="s">
        <v>74</v>
      </c>
      <c r="AF118" t="s">
        <v>74</v>
      </c>
      <c r="AG118">
        <v>53</v>
      </c>
      <c r="AH118">
        <v>13</v>
      </c>
      <c r="AI118">
        <v>16</v>
      </c>
      <c r="AJ118">
        <v>0</v>
      </c>
      <c r="AK118">
        <v>7</v>
      </c>
      <c r="AL118" t="s">
        <v>1509</v>
      </c>
      <c r="AM118" t="s">
        <v>613</v>
      </c>
      <c r="AN118" t="s">
        <v>1821</v>
      </c>
      <c r="AO118" t="s">
        <v>1921</v>
      </c>
      <c r="AP118" t="s">
        <v>1937</v>
      </c>
      <c r="AQ118" t="s">
        <v>74</v>
      </c>
      <c r="AR118" t="s">
        <v>1922</v>
      </c>
      <c r="AS118" t="s">
        <v>1923</v>
      </c>
      <c r="AT118" t="s">
        <v>890</v>
      </c>
      <c r="AU118">
        <v>2004</v>
      </c>
      <c r="AV118">
        <v>28</v>
      </c>
      <c r="AW118">
        <v>1</v>
      </c>
      <c r="AX118" t="s">
        <v>74</v>
      </c>
      <c r="AY118" t="s">
        <v>74</v>
      </c>
      <c r="AZ118" t="s">
        <v>74</v>
      </c>
      <c r="BA118" t="s">
        <v>74</v>
      </c>
      <c r="BB118">
        <v>56</v>
      </c>
      <c r="BC118">
        <v>61</v>
      </c>
      <c r="BD118" t="s">
        <v>74</v>
      </c>
      <c r="BE118" t="s">
        <v>1960</v>
      </c>
      <c r="BF118" t="str">
        <f>HYPERLINK("http://dx.doi.org/10.1007/s00300-004-0649-6","http://dx.doi.org/10.1007/s00300-004-0649-6")</f>
        <v>http://dx.doi.org/10.1007/s00300-004-0649-6</v>
      </c>
      <c r="BG118" t="s">
        <v>74</v>
      </c>
      <c r="BH118" t="s">
        <v>74</v>
      </c>
      <c r="BI118">
        <v>6</v>
      </c>
      <c r="BJ118" t="s">
        <v>1491</v>
      </c>
      <c r="BK118" t="s">
        <v>139</v>
      </c>
      <c r="BL118" t="s">
        <v>1337</v>
      </c>
      <c r="BM118" t="s">
        <v>1925</v>
      </c>
      <c r="BN118" t="s">
        <v>74</v>
      </c>
      <c r="BO118" t="s">
        <v>74</v>
      </c>
      <c r="BP118" t="s">
        <v>74</v>
      </c>
      <c r="BQ118" t="s">
        <v>74</v>
      </c>
      <c r="BR118" t="s">
        <v>98</v>
      </c>
      <c r="BS118" t="s">
        <v>1961</v>
      </c>
      <c r="BT118" t="str">
        <f>HYPERLINK("https%3A%2F%2Fwww.webofscience.com%2Fwos%2Fwoscc%2Ffull-record%2FWOS:000226552800006","View Full Record in Web of Science")</f>
        <v>View Full Record in Web of Science</v>
      </c>
    </row>
    <row r="119" spans="1:72" x14ac:dyDescent="0.15">
      <c r="A119" t="s">
        <v>122</v>
      </c>
      <c r="B119" t="s">
        <v>1962</v>
      </c>
      <c r="C119" t="s">
        <v>74</v>
      </c>
      <c r="D119" t="s">
        <v>74</v>
      </c>
      <c r="E119" t="s">
        <v>74</v>
      </c>
      <c r="F119" t="s">
        <v>1962</v>
      </c>
      <c r="G119" t="s">
        <v>74</v>
      </c>
      <c r="H119" t="s">
        <v>74</v>
      </c>
      <c r="I119" t="s">
        <v>1963</v>
      </c>
      <c r="J119" t="s">
        <v>1912</v>
      </c>
      <c r="K119" t="s">
        <v>74</v>
      </c>
      <c r="L119" t="s">
        <v>74</v>
      </c>
      <c r="M119" t="s">
        <v>79</v>
      </c>
      <c r="N119" t="s">
        <v>126</v>
      </c>
      <c r="O119" t="s">
        <v>74</v>
      </c>
      <c r="P119" t="s">
        <v>74</v>
      </c>
      <c r="Q119" t="s">
        <v>74</v>
      </c>
      <c r="R119" t="s">
        <v>74</v>
      </c>
      <c r="S119" t="s">
        <v>74</v>
      </c>
      <c r="T119" t="s">
        <v>74</v>
      </c>
      <c r="U119" t="s">
        <v>1964</v>
      </c>
      <c r="V119" t="s">
        <v>1965</v>
      </c>
      <c r="W119" t="s">
        <v>1966</v>
      </c>
      <c r="X119" t="s">
        <v>1967</v>
      </c>
      <c r="Y119" t="s">
        <v>1968</v>
      </c>
      <c r="Z119" t="s">
        <v>1091</v>
      </c>
      <c r="AA119" t="s">
        <v>74</v>
      </c>
      <c r="AB119" t="s">
        <v>1969</v>
      </c>
      <c r="AC119" t="s">
        <v>74</v>
      </c>
      <c r="AD119" t="s">
        <v>74</v>
      </c>
      <c r="AE119" t="s">
        <v>74</v>
      </c>
      <c r="AF119" t="s">
        <v>74</v>
      </c>
      <c r="AG119">
        <v>48</v>
      </c>
      <c r="AH119">
        <v>60</v>
      </c>
      <c r="AI119">
        <v>63</v>
      </c>
      <c r="AJ119">
        <v>0</v>
      </c>
      <c r="AK119">
        <v>13</v>
      </c>
      <c r="AL119" t="s">
        <v>1509</v>
      </c>
      <c r="AM119" t="s">
        <v>613</v>
      </c>
      <c r="AN119" t="s">
        <v>1948</v>
      </c>
      <c r="AO119" t="s">
        <v>1921</v>
      </c>
      <c r="AP119" t="s">
        <v>1937</v>
      </c>
      <c r="AQ119" t="s">
        <v>74</v>
      </c>
      <c r="AR119" t="s">
        <v>1922</v>
      </c>
      <c r="AS119" t="s">
        <v>1923</v>
      </c>
      <c r="AT119" t="s">
        <v>890</v>
      </c>
      <c r="AU119">
        <v>2004</v>
      </c>
      <c r="AV119">
        <v>28</v>
      </c>
      <c r="AW119">
        <v>1</v>
      </c>
      <c r="AX119" t="s">
        <v>74</v>
      </c>
      <c r="AY119" t="s">
        <v>74</v>
      </c>
      <c r="AZ119" t="s">
        <v>74</v>
      </c>
      <c r="BA119" t="s">
        <v>74</v>
      </c>
      <c r="BB119">
        <v>62</v>
      </c>
      <c r="BC119">
        <v>71</v>
      </c>
      <c r="BD119" t="s">
        <v>74</v>
      </c>
      <c r="BE119" t="s">
        <v>1970</v>
      </c>
      <c r="BF119" t="str">
        <f>HYPERLINK("http://dx.doi.org/10.1007/s00300-004-0647-8","http://dx.doi.org/10.1007/s00300-004-0647-8")</f>
        <v>http://dx.doi.org/10.1007/s00300-004-0647-8</v>
      </c>
      <c r="BG119" t="s">
        <v>74</v>
      </c>
      <c r="BH119" t="s">
        <v>74</v>
      </c>
      <c r="BI119">
        <v>10</v>
      </c>
      <c r="BJ119" t="s">
        <v>1491</v>
      </c>
      <c r="BK119" t="s">
        <v>139</v>
      </c>
      <c r="BL119" t="s">
        <v>1337</v>
      </c>
      <c r="BM119" t="s">
        <v>1925</v>
      </c>
      <c r="BN119" t="s">
        <v>74</v>
      </c>
      <c r="BO119" t="s">
        <v>988</v>
      </c>
      <c r="BP119" t="s">
        <v>74</v>
      </c>
      <c r="BQ119" t="s">
        <v>74</v>
      </c>
      <c r="BR119" t="s">
        <v>98</v>
      </c>
      <c r="BS119" t="s">
        <v>1971</v>
      </c>
      <c r="BT119" t="str">
        <f>HYPERLINK("https%3A%2F%2Fwww.webofscience.com%2Fwos%2Fwoscc%2Ffull-record%2FWOS:000226552800007","View Full Record in Web of Science")</f>
        <v>View Full Record in Web of Science</v>
      </c>
    </row>
    <row r="120" spans="1:72" x14ac:dyDescent="0.15">
      <c r="A120" t="s">
        <v>122</v>
      </c>
      <c r="B120" t="s">
        <v>1972</v>
      </c>
      <c r="C120" t="s">
        <v>74</v>
      </c>
      <c r="D120" t="s">
        <v>74</v>
      </c>
      <c r="E120" t="s">
        <v>74</v>
      </c>
      <c r="F120" t="s">
        <v>1972</v>
      </c>
      <c r="G120" t="s">
        <v>74</v>
      </c>
      <c r="H120" t="s">
        <v>74</v>
      </c>
      <c r="I120" t="s">
        <v>1973</v>
      </c>
      <c r="J120" t="s">
        <v>1912</v>
      </c>
      <c r="K120" t="s">
        <v>74</v>
      </c>
      <c r="L120" t="s">
        <v>74</v>
      </c>
      <c r="M120" t="s">
        <v>79</v>
      </c>
      <c r="N120" t="s">
        <v>126</v>
      </c>
      <c r="O120" t="s">
        <v>74</v>
      </c>
      <c r="P120" t="s">
        <v>74</v>
      </c>
      <c r="Q120" t="s">
        <v>74</v>
      </c>
      <c r="R120" t="s">
        <v>74</v>
      </c>
      <c r="S120" t="s">
        <v>74</v>
      </c>
      <c r="T120" t="s">
        <v>74</v>
      </c>
      <c r="U120" t="s">
        <v>1974</v>
      </c>
      <c r="V120" t="s">
        <v>1975</v>
      </c>
      <c r="W120" t="s">
        <v>1976</v>
      </c>
      <c r="X120" t="s">
        <v>1977</v>
      </c>
      <c r="Y120" t="s">
        <v>1978</v>
      </c>
      <c r="Z120" t="s">
        <v>1979</v>
      </c>
      <c r="AA120" t="s">
        <v>74</v>
      </c>
      <c r="AB120" t="s">
        <v>74</v>
      </c>
      <c r="AC120" t="s">
        <v>74</v>
      </c>
      <c r="AD120" t="s">
        <v>74</v>
      </c>
      <c r="AE120" t="s">
        <v>74</v>
      </c>
      <c r="AF120" t="s">
        <v>74</v>
      </c>
      <c r="AG120">
        <v>32</v>
      </c>
      <c r="AH120">
        <v>20</v>
      </c>
      <c r="AI120">
        <v>24</v>
      </c>
      <c r="AJ120">
        <v>0</v>
      </c>
      <c r="AK120">
        <v>11</v>
      </c>
      <c r="AL120" t="s">
        <v>1509</v>
      </c>
      <c r="AM120" t="s">
        <v>613</v>
      </c>
      <c r="AN120" t="s">
        <v>1776</v>
      </c>
      <c r="AO120" t="s">
        <v>1921</v>
      </c>
      <c r="AP120" t="s">
        <v>74</v>
      </c>
      <c r="AQ120" t="s">
        <v>74</v>
      </c>
      <c r="AR120" t="s">
        <v>1922</v>
      </c>
      <c r="AS120" t="s">
        <v>1923</v>
      </c>
      <c r="AT120" t="s">
        <v>890</v>
      </c>
      <c r="AU120">
        <v>2004</v>
      </c>
      <c r="AV120">
        <v>28</v>
      </c>
      <c r="AW120">
        <v>1</v>
      </c>
      <c r="AX120" t="s">
        <v>74</v>
      </c>
      <c r="AY120" t="s">
        <v>74</v>
      </c>
      <c r="AZ120" t="s">
        <v>74</v>
      </c>
      <c r="BA120" t="s">
        <v>74</v>
      </c>
      <c r="BB120">
        <v>72</v>
      </c>
      <c r="BC120">
        <v>81</v>
      </c>
      <c r="BD120" t="s">
        <v>74</v>
      </c>
      <c r="BE120" t="s">
        <v>1980</v>
      </c>
      <c r="BF120" t="str">
        <f>HYPERLINK("http://dx.doi.org/10.1007/s00300-004-0660-y","http://dx.doi.org/10.1007/s00300-004-0660-y")</f>
        <v>http://dx.doi.org/10.1007/s00300-004-0660-y</v>
      </c>
      <c r="BG120" t="s">
        <v>74</v>
      </c>
      <c r="BH120" t="s">
        <v>74</v>
      </c>
      <c r="BI120">
        <v>10</v>
      </c>
      <c r="BJ120" t="s">
        <v>1491</v>
      </c>
      <c r="BK120" t="s">
        <v>139</v>
      </c>
      <c r="BL120" t="s">
        <v>1337</v>
      </c>
      <c r="BM120" t="s">
        <v>1925</v>
      </c>
      <c r="BN120" t="s">
        <v>74</v>
      </c>
      <c r="BO120" t="s">
        <v>74</v>
      </c>
      <c r="BP120" t="s">
        <v>74</v>
      </c>
      <c r="BQ120" t="s">
        <v>74</v>
      </c>
      <c r="BR120" t="s">
        <v>98</v>
      </c>
      <c r="BS120" t="s">
        <v>1981</v>
      </c>
      <c r="BT120" t="str">
        <f>HYPERLINK("https%3A%2F%2Fwww.webofscience.com%2Fwos%2Fwoscc%2Ffull-record%2FWOS:000226552800008","View Full Record in Web of Science")</f>
        <v>View Full Record in Web of Science</v>
      </c>
    </row>
    <row r="121" spans="1:72" x14ac:dyDescent="0.15">
      <c r="A121" t="s">
        <v>122</v>
      </c>
      <c r="B121" t="s">
        <v>1982</v>
      </c>
      <c r="C121" t="s">
        <v>74</v>
      </c>
      <c r="D121" t="s">
        <v>74</v>
      </c>
      <c r="E121" t="s">
        <v>74</v>
      </c>
      <c r="F121" t="s">
        <v>1982</v>
      </c>
      <c r="G121" t="s">
        <v>74</v>
      </c>
      <c r="H121" t="s">
        <v>74</v>
      </c>
      <c r="I121" t="s">
        <v>1983</v>
      </c>
      <c r="J121" t="s">
        <v>1984</v>
      </c>
      <c r="K121" t="s">
        <v>74</v>
      </c>
      <c r="L121" t="s">
        <v>74</v>
      </c>
      <c r="M121" t="s">
        <v>79</v>
      </c>
      <c r="N121" t="s">
        <v>126</v>
      </c>
      <c r="O121" t="s">
        <v>74</v>
      </c>
      <c r="P121" t="s">
        <v>74</v>
      </c>
      <c r="Q121" t="s">
        <v>74</v>
      </c>
      <c r="R121" t="s">
        <v>74</v>
      </c>
      <c r="S121" t="s">
        <v>74</v>
      </c>
      <c r="T121" t="s">
        <v>1985</v>
      </c>
      <c r="U121" t="s">
        <v>1986</v>
      </c>
      <c r="V121" t="s">
        <v>1987</v>
      </c>
      <c r="W121" t="s">
        <v>1988</v>
      </c>
      <c r="X121" t="s">
        <v>1989</v>
      </c>
      <c r="Y121" t="s">
        <v>1990</v>
      </c>
      <c r="Z121" t="s">
        <v>1991</v>
      </c>
      <c r="AA121" t="s">
        <v>74</v>
      </c>
      <c r="AB121" t="s">
        <v>74</v>
      </c>
      <c r="AC121" t="s">
        <v>74</v>
      </c>
      <c r="AD121" t="s">
        <v>74</v>
      </c>
      <c r="AE121" t="s">
        <v>74</v>
      </c>
      <c r="AF121" t="s">
        <v>74</v>
      </c>
      <c r="AG121">
        <v>36</v>
      </c>
      <c r="AH121">
        <v>23</v>
      </c>
      <c r="AI121">
        <v>27</v>
      </c>
      <c r="AJ121">
        <v>1</v>
      </c>
      <c r="AK121">
        <v>5</v>
      </c>
      <c r="AL121" t="s">
        <v>531</v>
      </c>
      <c r="AM121" t="s">
        <v>532</v>
      </c>
      <c r="AN121" t="s">
        <v>533</v>
      </c>
      <c r="AO121" t="s">
        <v>1992</v>
      </c>
      <c r="AP121" t="s">
        <v>1993</v>
      </c>
      <c r="AQ121" t="s">
        <v>74</v>
      </c>
      <c r="AR121" t="s">
        <v>1994</v>
      </c>
      <c r="AS121" t="s">
        <v>1995</v>
      </c>
      <c r="AT121" t="s">
        <v>890</v>
      </c>
      <c r="AU121">
        <v>2004</v>
      </c>
      <c r="AV121">
        <v>132</v>
      </c>
      <c r="AW121" t="s">
        <v>538</v>
      </c>
      <c r="AX121" t="s">
        <v>74</v>
      </c>
      <c r="AY121" t="s">
        <v>74</v>
      </c>
      <c r="AZ121" t="s">
        <v>74</v>
      </c>
      <c r="BA121" t="s">
        <v>74</v>
      </c>
      <c r="BB121">
        <v>163</v>
      </c>
      <c r="BC121">
        <v>174</v>
      </c>
      <c r="BD121" t="s">
        <v>74</v>
      </c>
      <c r="BE121" t="s">
        <v>1996</v>
      </c>
      <c r="BF121" t="str">
        <f>HYPERLINK("http://dx.doi.org/10.1016/j.revpalbo.2004.06.001","http://dx.doi.org/10.1016/j.revpalbo.2004.06.001")</f>
        <v>http://dx.doi.org/10.1016/j.revpalbo.2004.06.001</v>
      </c>
      <c r="BG121" t="s">
        <v>74</v>
      </c>
      <c r="BH121" t="s">
        <v>74</v>
      </c>
      <c r="BI121">
        <v>12</v>
      </c>
      <c r="BJ121" t="s">
        <v>1997</v>
      </c>
      <c r="BK121" t="s">
        <v>139</v>
      </c>
      <c r="BL121" t="s">
        <v>1997</v>
      </c>
      <c r="BM121" t="s">
        <v>1998</v>
      </c>
      <c r="BN121" t="s">
        <v>74</v>
      </c>
      <c r="BO121" t="s">
        <v>74</v>
      </c>
      <c r="BP121" t="s">
        <v>74</v>
      </c>
      <c r="BQ121" t="s">
        <v>74</v>
      </c>
      <c r="BR121" t="s">
        <v>98</v>
      </c>
      <c r="BS121" t="s">
        <v>1999</v>
      </c>
      <c r="BT121" t="str">
        <f>HYPERLINK("https%3A%2F%2Fwww.webofscience.com%2Fwos%2Fwoscc%2Ffull-record%2FWOS:000225934200001","View Full Record in Web of Science")</f>
        <v>View Full Record in Web of Science</v>
      </c>
    </row>
    <row r="122" spans="1:72" x14ac:dyDescent="0.15">
      <c r="A122" t="s">
        <v>122</v>
      </c>
      <c r="B122" t="s">
        <v>2000</v>
      </c>
      <c r="C122" t="s">
        <v>74</v>
      </c>
      <c r="D122" t="s">
        <v>74</v>
      </c>
      <c r="E122" t="s">
        <v>74</v>
      </c>
      <c r="F122" t="s">
        <v>2000</v>
      </c>
      <c r="G122" t="s">
        <v>74</v>
      </c>
      <c r="H122" t="s">
        <v>74</v>
      </c>
      <c r="I122" t="s">
        <v>2001</v>
      </c>
      <c r="J122" t="s">
        <v>2002</v>
      </c>
      <c r="K122" t="s">
        <v>74</v>
      </c>
      <c r="L122" t="s">
        <v>74</v>
      </c>
      <c r="M122" t="s">
        <v>79</v>
      </c>
      <c r="N122" t="s">
        <v>581</v>
      </c>
      <c r="O122" t="s">
        <v>74</v>
      </c>
      <c r="P122" t="s">
        <v>74</v>
      </c>
      <c r="Q122" t="s">
        <v>74</v>
      </c>
      <c r="R122" t="s">
        <v>74</v>
      </c>
      <c r="S122" t="s">
        <v>74</v>
      </c>
      <c r="T122" t="s">
        <v>2003</v>
      </c>
      <c r="U122" t="s">
        <v>2004</v>
      </c>
      <c r="V122" t="s">
        <v>2005</v>
      </c>
      <c r="W122" t="s">
        <v>2006</v>
      </c>
      <c r="X122" t="s">
        <v>2007</v>
      </c>
      <c r="Y122" t="s">
        <v>2008</v>
      </c>
      <c r="Z122" t="s">
        <v>2009</v>
      </c>
      <c r="AA122" t="s">
        <v>74</v>
      </c>
      <c r="AB122" t="s">
        <v>74</v>
      </c>
      <c r="AC122" t="s">
        <v>74</v>
      </c>
      <c r="AD122" t="s">
        <v>74</v>
      </c>
      <c r="AE122" t="s">
        <v>74</v>
      </c>
      <c r="AF122" t="s">
        <v>74</v>
      </c>
      <c r="AG122">
        <v>406</v>
      </c>
      <c r="AH122">
        <v>485</v>
      </c>
      <c r="AI122">
        <v>527</v>
      </c>
      <c r="AJ122">
        <v>3</v>
      </c>
      <c r="AK122">
        <v>156</v>
      </c>
      <c r="AL122" t="s">
        <v>2010</v>
      </c>
      <c r="AM122" t="s">
        <v>2011</v>
      </c>
      <c r="AN122" t="s">
        <v>2012</v>
      </c>
      <c r="AO122" t="s">
        <v>2013</v>
      </c>
      <c r="AP122" t="s">
        <v>74</v>
      </c>
      <c r="AQ122" t="s">
        <v>74</v>
      </c>
      <c r="AR122" t="s">
        <v>2014</v>
      </c>
      <c r="AS122" t="s">
        <v>2015</v>
      </c>
      <c r="AT122" t="s">
        <v>890</v>
      </c>
      <c r="AU122">
        <v>2004</v>
      </c>
      <c r="AV122">
        <v>31</v>
      </c>
      <c r="AW122">
        <v>2</v>
      </c>
      <c r="AX122" t="s">
        <v>74</v>
      </c>
      <c r="AY122" t="s">
        <v>74</v>
      </c>
      <c r="AZ122" t="s">
        <v>74</v>
      </c>
      <c r="BA122" t="s">
        <v>74</v>
      </c>
      <c r="BB122">
        <v>161</v>
      </c>
      <c r="BC122">
        <v>206</v>
      </c>
      <c r="BD122" t="s">
        <v>74</v>
      </c>
      <c r="BE122" t="s">
        <v>2016</v>
      </c>
      <c r="BF122" t="str">
        <f>HYPERLINK("http://dx.doi.org/10.4067/S0716-02082004000200001","http://dx.doi.org/10.4067/S0716-02082004000200001")</f>
        <v>http://dx.doi.org/10.4067/S0716-02082004000200001</v>
      </c>
      <c r="BG122" t="s">
        <v>74</v>
      </c>
      <c r="BH122" t="s">
        <v>74</v>
      </c>
      <c r="BI122">
        <v>46</v>
      </c>
      <c r="BJ122" t="s">
        <v>249</v>
      </c>
      <c r="BK122" t="s">
        <v>139</v>
      </c>
      <c r="BL122" t="s">
        <v>249</v>
      </c>
      <c r="BM122" t="s">
        <v>2017</v>
      </c>
      <c r="BN122" t="s">
        <v>74</v>
      </c>
      <c r="BO122" t="s">
        <v>2018</v>
      </c>
      <c r="BP122" t="s">
        <v>74</v>
      </c>
      <c r="BQ122" t="s">
        <v>74</v>
      </c>
      <c r="BR122" t="s">
        <v>98</v>
      </c>
      <c r="BS122" t="s">
        <v>2019</v>
      </c>
      <c r="BT122" t="str">
        <f>HYPERLINK("https%3A%2F%2Fwww.webofscience.com%2Fwos%2Fwoscc%2Ffull-record%2FWOS:000225759600001","View Full Record in Web of Science")</f>
        <v>View Full Record in Web of Science</v>
      </c>
    </row>
    <row r="123" spans="1:72" x14ac:dyDescent="0.15">
      <c r="A123" t="s">
        <v>122</v>
      </c>
      <c r="B123" t="s">
        <v>2020</v>
      </c>
      <c r="C123" t="s">
        <v>74</v>
      </c>
      <c r="D123" t="s">
        <v>74</v>
      </c>
      <c r="E123" t="s">
        <v>74</v>
      </c>
      <c r="F123" t="s">
        <v>2020</v>
      </c>
      <c r="G123" t="s">
        <v>74</v>
      </c>
      <c r="H123" t="s">
        <v>74</v>
      </c>
      <c r="I123" t="s">
        <v>2021</v>
      </c>
      <c r="J123" t="s">
        <v>2022</v>
      </c>
      <c r="K123" t="s">
        <v>74</v>
      </c>
      <c r="L123" t="s">
        <v>74</v>
      </c>
      <c r="M123" t="s">
        <v>79</v>
      </c>
      <c r="N123" t="s">
        <v>126</v>
      </c>
      <c r="O123" t="s">
        <v>74</v>
      </c>
      <c r="P123" t="s">
        <v>74</v>
      </c>
      <c r="Q123" t="s">
        <v>74</v>
      </c>
      <c r="R123" t="s">
        <v>74</v>
      </c>
      <c r="S123" t="s">
        <v>74</v>
      </c>
      <c r="T123" t="s">
        <v>74</v>
      </c>
      <c r="U123" t="s">
        <v>74</v>
      </c>
      <c r="V123" t="s">
        <v>74</v>
      </c>
      <c r="W123" t="s">
        <v>2023</v>
      </c>
      <c r="X123" t="s">
        <v>2024</v>
      </c>
      <c r="Y123" t="s">
        <v>2025</v>
      </c>
      <c r="Z123" t="s">
        <v>2026</v>
      </c>
      <c r="AA123" t="s">
        <v>74</v>
      </c>
      <c r="AB123" t="s">
        <v>2027</v>
      </c>
      <c r="AC123" t="s">
        <v>74</v>
      </c>
      <c r="AD123" t="s">
        <v>74</v>
      </c>
      <c r="AE123" t="s">
        <v>74</v>
      </c>
      <c r="AF123" t="s">
        <v>74</v>
      </c>
      <c r="AG123">
        <v>0</v>
      </c>
      <c r="AH123">
        <v>0</v>
      </c>
      <c r="AI123">
        <v>0</v>
      </c>
      <c r="AJ123">
        <v>0</v>
      </c>
      <c r="AK123">
        <v>0</v>
      </c>
      <c r="AL123" t="s">
        <v>2028</v>
      </c>
      <c r="AM123" t="s">
        <v>2029</v>
      </c>
      <c r="AN123" t="s">
        <v>2030</v>
      </c>
      <c r="AO123" t="s">
        <v>2031</v>
      </c>
      <c r="AP123" t="s">
        <v>74</v>
      </c>
      <c r="AQ123" t="s">
        <v>74</v>
      </c>
      <c r="AR123" t="s">
        <v>2032</v>
      </c>
      <c r="AS123" t="s">
        <v>2022</v>
      </c>
      <c r="AT123" t="s">
        <v>2033</v>
      </c>
      <c r="AU123">
        <v>2004</v>
      </c>
      <c r="AV123" t="s">
        <v>74</v>
      </c>
      <c r="AW123" t="s">
        <v>2034</v>
      </c>
      <c r="AX123" t="s">
        <v>74</v>
      </c>
      <c r="AY123" t="s">
        <v>74</v>
      </c>
      <c r="AZ123" t="s">
        <v>74</v>
      </c>
      <c r="BA123" t="s">
        <v>74</v>
      </c>
      <c r="BB123">
        <v>26</v>
      </c>
      <c r="BC123">
        <v>27</v>
      </c>
      <c r="BD123" t="s">
        <v>74</v>
      </c>
      <c r="BE123" t="s">
        <v>74</v>
      </c>
      <c r="BF123" t="s">
        <v>74</v>
      </c>
      <c r="BG123" t="s">
        <v>74</v>
      </c>
      <c r="BH123" t="s">
        <v>74</v>
      </c>
      <c r="BI123">
        <v>2</v>
      </c>
      <c r="BJ123" t="s">
        <v>2035</v>
      </c>
      <c r="BK123" t="s">
        <v>139</v>
      </c>
      <c r="BL123" t="s">
        <v>2036</v>
      </c>
      <c r="BM123" t="s">
        <v>2037</v>
      </c>
      <c r="BN123" t="s">
        <v>74</v>
      </c>
      <c r="BO123" t="s">
        <v>74</v>
      </c>
      <c r="BP123" t="s">
        <v>74</v>
      </c>
      <c r="BQ123" t="s">
        <v>74</v>
      </c>
      <c r="BR123" t="s">
        <v>98</v>
      </c>
      <c r="BS123" t="s">
        <v>2038</v>
      </c>
      <c r="BT123" t="str">
        <f>HYPERLINK("https%3A%2F%2Fwww.webofscience.com%2Fwos%2Fwoscc%2Ffull-record%2FWOS:000229837100051","View Full Record in Web of Science")</f>
        <v>View Full Record in Web of Science</v>
      </c>
    </row>
    <row r="124" spans="1:72" x14ac:dyDescent="0.15">
      <c r="A124" t="s">
        <v>122</v>
      </c>
      <c r="B124" t="s">
        <v>2039</v>
      </c>
      <c r="C124" t="s">
        <v>74</v>
      </c>
      <c r="D124" t="s">
        <v>74</v>
      </c>
      <c r="E124" t="s">
        <v>74</v>
      </c>
      <c r="F124" t="s">
        <v>2039</v>
      </c>
      <c r="G124" t="s">
        <v>74</v>
      </c>
      <c r="H124" t="s">
        <v>74</v>
      </c>
      <c r="I124" t="s">
        <v>2040</v>
      </c>
      <c r="J124" t="s">
        <v>2041</v>
      </c>
      <c r="K124" t="s">
        <v>74</v>
      </c>
      <c r="L124" t="s">
        <v>74</v>
      </c>
      <c r="M124" t="s">
        <v>79</v>
      </c>
      <c r="N124" t="s">
        <v>126</v>
      </c>
      <c r="O124" t="s">
        <v>74</v>
      </c>
      <c r="P124" t="s">
        <v>74</v>
      </c>
      <c r="Q124" t="s">
        <v>74</v>
      </c>
      <c r="R124" t="s">
        <v>74</v>
      </c>
      <c r="S124" t="s">
        <v>74</v>
      </c>
      <c r="T124" t="s">
        <v>2042</v>
      </c>
      <c r="U124" t="s">
        <v>2043</v>
      </c>
      <c r="V124" t="s">
        <v>2044</v>
      </c>
      <c r="W124" t="s">
        <v>2045</v>
      </c>
      <c r="X124" t="s">
        <v>2046</v>
      </c>
      <c r="Y124" t="s">
        <v>2047</v>
      </c>
      <c r="Z124" t="s">
        <v>2048</v>
      </c>
      <c r="AA124" t="s">
        <v>74</v>
      </c>
      <c r="AB124" t="s">
        <v>74</v>
      </c>
      <c r="AC124" t="s">
        <v>74</v>
      </c>
      <c r="AD124" t="s">
        <v>74</v>
      </c>
      <c r="AE124" t="s">
        <v>74</v>
      </c>
      <c r="AF124" t="s">
        <v>74</v>
      </c>
      <c r="AG124">
        <v>32</v>
      </c>
      <c r="AH124">
        <v>5</v>
      </c>
      <c r="AI124">
        <v>6</v>
      </c>
      <c r="AJ124">
        <v>1</v>
      </c>
      <c r="AK124">
        <v>8</v>
      </c>
      <c r="AL124" t="s">
        <v>2049</v>
      </c>
      <c r="AM124" t="s">
        <v>240</v>
      </c>
      <c r="AN124" t="s">
        <v>2050</v>
      </c>
      <c r="AO124" t="s">
        <v>2051</v>
      </c>
      <c r="AP124" t="s">
        <v>2052</v>
      </c>
      <c r="AQ124" t="s">
        <v>74</v>
      </c>
      <c r="AR124" t="s">
        <v>2041</v>
      </c>
      <c r="AS124" t="s">
        <v>2053</v>
      </c>
      <c r="AT124" t="s">
        <v>890</v>
      </c>
      <c r="AU124">
        <v>2004</v>
      </c>
      <c r="AV124">
        <v>27</v>
      </c>
      <c r="AW124">
        <v>4</v>
      </c>
      <c r="AX124" t="s">
        <v>74</v>
      </c>
      <c r="AY124" t="s">
        <v>74</v>
      </c>
      <c r="AZ124" t="s">
        <v>74</v>
      </c>
      <c r="BA124" t="s">
        <v>74</v>
      </c>
      <c r="BB124">
        <v>382</v>
      </c>
      <c r="BC124">
        <v>387</v>
      </c>
      <c r="BD124" t="s">
        <v>74</v>
      </c>
      <c r="BE124" t="s">
        <v>2054</v>
      </c>
      <c r="BF124" t="str">
        <f>HYPERLINK("http://dx.doi.org/10.1675/1524-4695(2004)027[0382:DPITAS]2.0.CO;2","http://dx.doi.org/10.1675/1524-4695(2004)027[0382:DPITAS]2.0.CO;2")</f>
        <v>http://dx.doi.org/10.1675/1524-4695(2004)027[0382:DPITAS]2.0.CO;2</v>
      </c>
      <c r="BG124" t="s">
        <v>74</v>
      </c>
      <c r="BH124" t="s">
        <v>74</v>
      </c>
      <c r="BI124">
        <v>6</v>
      </c>
      <c r="BJ124" t="s">
        <v>2055</v>
      </c>
      <c r="BK124" t="s">
        <v>139</v>
      </c>
      <c r="BL124" t="s">
        <v>205</v>
      </c>
      <c r="BM124" t="s">
        <v>2056</v>
      </c>
      <c r="BN124" t="s">
        <v>74</v>
      </c>
      <c r="BO124" t="s">
        <v>329</v>
      </c>
      <c r="BP124" t="s">
        <v>74</v>
      </c>
      <c r="BQ124" t="s">
        <v>74</v>
      </c>
      <c r="BR124" t="s">
        <v>98</v>
      </c>
      <c r="BS124" t="s">
        <v>2057</v>
      </c>
      <c r="BT124" t="str">
        <f>HYPERLINK("https%3A%2F%2Fwww.webofscience.com%2Fwos%2Fwoscc%2Ffull-record%2FWOS:000226211000002","View Full Record in Web of Science")</f>
        <v>View Full Record in Web of Science</v>
      </c>
    </row>
    <row r="125" spans="1:72" x14ac:dyDescent="0.15">
      <c r="A125" t="s">
        <v>122</v>
      </c>
      <c r="B125" t="s">
        <v>2058</v>
      </c>
      <c r="C125" t="s">
        <v>74</v>
      </c>
      <c r="D125" t="s">
        <v>74</v>
      </c>
      <c r="E125" t="s">
        <v>74</v>
      </c>
      <c r="F125" t="s">
        <v>2058</v>
      </c>
      <c r="G125" t="s">
        <v>74</v>
      </c>
      <c r="H125" t="s">
        <v>74</v>
      </c>
      <c r="I125" t="s">
        <v>2059</v>
      </c>
      <c r="J125" t="s">
        <v>2041</v>
      </c>
      <c r="K125" t="s">
        <v>74</v>
      </c>
      <c r="L125" t="s">
        <v>74</v>
      </c>
      <c r="M125" t="s">
        <v>79</v>
      </c>
      <c r="N125" t="s">
        <v>126</v>
      </c>
      <c r="O125" t="s">
        <v>74</v>
      </c>
      <c r="P125" t="s">
        <v>74</v>
      </c>
      <c r="Q125" t="s">
        <v>74</v>
      </c>
      <c r="R125" t="s">
        <v>74</v>
      </c>
      <c r="S125" t="s">
        <v>74</v>
      </c>
      <c r="T125" t="s">
        <v>2060</v>
      </c>
      <c r="U125" t="s">
        <v>2061</v>
      </c>
      <c r="V125" t="s">
        <v>2062</v>
      </c>
      <c r="W125" t="s">
        <v>2063</v>
      </c>
      <c r="X125" t="s">
        <v>74</v>
      </c>
      <c r="Y125" t="s">
        <v>2064</v>
      </c>
      <c r="Z125" t="s">
        <v>2065</v>
      </c>
      <c r="AA125" t="s">
        <v>74</v>
      </c>
      <c r="AB125" t="s">
        <v>2066</v>
      </c>
      <c r="AC125" t="s">
        <v>74</v>
      </c>
      <c r="AD125" t="s">
        <v>74</v>
      </c>
      <c r="AE125" t="s">
        <v>74</v>
      </c>
      <c r="AF125" t="s">
        <v>74</v>
      </c>
      <c r="AG125">
        <v>33</v>
      </c>
      <c r="AH125">
        <v>9</v>
      </c>
      <c r="AI125">
        <v>11</v>
      </c>
      <c r="AJ125">
        <v>0</v>
      </c>
      <c r="AK125">
        <v>6</v>
      </c>
      <c r="AL125" t="s">
        <v>2049</v>
      </c>
      <c r="AM125" t="s">
        <v>240</v>
      </c>
      <c r="AN125" t="s">
        <v>2050</v>
      </c>
      <c r="AO125" t="s">
        <v>2051</v>
      </c>
      <c r="AP125" t="s">
        <v>2052</v>
      </c>
      <c r="AQ125" t="s">
        <v>74</v>
      </c>
      <c r="AR125" t="s">
        <v>2041</v>
      </c>
      <c r="AS125" t="s">
        <v>2053</v>
      </c>
      <c r="AT125" t="s">
        <v>890</v>
      </c>
      <c r="AU125">
        <v>2004</v>
      </c>
      <c r="AV125">
        <v>27</v>
      </c>
      <c r="AW125">
        <v>4</v>
      </c>
      <c r="AX125" t="s">
        <v>74</v>
      </c>
      <c r="AY125" t="s">
        <v>74</v>
      </c>
      <c r="AZ125" t="s">
        <v>74</v>
      </c>
      <c r="BA125" t="s">
        <v>74</v>
      </c>
      <c r="BB125">
        <v>396</v>
      </c>
      <c r="BC125">
        <v>405</v>
      </c>
      <c r="BD125" t="s">
        <v>74</v>
      </c>
      <c r="BE125" t="s">
        <v>2067</v>
      </c>
      <c r="BF125" t="str">
        <f>HYPERLINK("http://dx.doi.org/10.1675/1524-4695(2004)027[0396:AOTBBO]2.0.CO;2","http://dx.doi.org/10.1675/1524-4695(2004)027[0396:AOTBBO]2.0.CO;2")</f>
        <v>http://dx.doi.org/10.1675/1524-4695(2004)027[0396:AOTBBO]2.0.CO;2</v>
      </c>
      <c r="BG125" t="s">
        <v>74</v>
      </c>
      <c r="BH125" t="s">
        <v>74</v>
      </c>
      <c r="BI125">
        <v>10</v>
      </c>
      <c r="BJ125" t="s">
        <v>2055</v>
      </c>
      <c r="BK125" t="s">
        <v>139</v>
      </c>
      <c r="BL125" t="s">
        <v>205</v>
      </c>
      <c r="BM125" t="s">
        <v>2056</v>
      </c>
      <c r="BN125" t="s">
        <v>74</v>
      </c>
      <c r="BO125" t="s">
        <v>74</v>
      </c>
      <c r="BP125" t="s">
        <v>74</v>
      </c>
      <c r="BQ125" t="s">
        <v>74</v>
      </c>
      <c r="BR125" t="s">
        <v>98</v>
      </c>
      <c r="BS125" t="s">
        <v>2068</v>
      </c>
      <c r="BT125" t="str">
        <f>HYPERLINK("https%3A%2F%2Fwww.webofscience.com%2Fwos%2Fwoscc%2Ffull-record%2FWOS:000226211000004","View Full Record in Web of Science")</f>
        <v>View Full Record in Web of Science</v>
      </c>
    </row>
    <row r="126" spans="1:72" x14ac:dyDescent="0.15">
      <c r="A126" t="s">
        <v>122</v>
      </c>
      <c r="B126" t="s">
        <v>2069</v>
      </c>
      <c r="C126" t="s">
        <v>74</v>
      </c>
      <c r="D126" t="s">
        <v>74</v>
      </c>
      <c r="E126" t="s">
        <v>74</v>
      </c>
      <c r="F126" t="s">
        <v>2070</v>
      </c>
      <c r="G126" t="s">
        <v>74</v>
      </c>
      <c r="H126" t="s">
        <v>74</v>
      </c>
      <c r="I126" t="s">
        <v>2071</v>
      </c>
      <c r="J126" t="s">
        <v>2072</v>
      </c>
      <c r="K126" t="s">
        <v>74</v>
      </c>
      <c r="L126" t="s">
        <v>74</v>
      </c>
      <c r="M126" t="s">
        <v>79</v>
      </c>
      <c r="N126" t="s">
        <v>52</v>
      </c>
      <c r="O126" t="s">
        <v>74</v>
      </c>
      <c r="P126" t="s">
        <v>74</v>
      </c>
      <c r="Q126" t="s">
        <v>74</v>
      </c>
      <c r="R126" t="s">
        <v>74</v>
      </c>
      <c r="S126" t="s">
        <v>74</v>
      </c>
      <c r="T126" t="s">
        <v>74</v>
      </c>
      <c r="U126" t="s">
        <v>74</v>
      </c>
      <c r="V126" t="s">
        <v>74</v>
      </c>
      <c r="W126" t="s">
        <v>2073</v>
      </c>
      <c r="X126" t="s">
        <v>2074</v>
      </c>
      <c r="Y126" t="s">
        <v>74</v>
      </c>
      <c r="Z126" t="s">
        <v>74</v>
      </c>
      <c r="AA126" t="s">
        <v>74</v>
      </c>
      <c r="AB126" t="s">
        <v>74</v>
      </c>
      <c r="AC126" t="s">
        <v>74</v>
      </c>
      <c r="AD126" t="s">
        <v>74</v>
      </c>
      <c r="AE126" t="s">
        <v>74</v>
      </c>
      <c r="AF126" t="s">
        <v>74</v>
      </c>
      <c r="AG126">
        <v>0</v>
      </c>
      <c r="AH126">
        <v>0</v>
      </c>
      <c r="AI126">
        <v>0</v>
      </c>
      <c r="AJ126">
        <v>0</v>
      </c>
      <c r="AK126">
        <v>0</v>
      </c>
      <c r="AL126" t="s">
        <v>2075</v>
      </c>
      <c r="AM126" t="s">
        <v>2076</v>
      </c>
      <c r="AN126" t="s">
        <v>2077</v>
      </c>
      <c r="AO126" t="s">
        <v>2078</v>
      </c>
      <c r="AP126" t="s">
        <v>74</v>
      </c>
      <c r="AQ126" t="s">
        <v>74</v>
      </c>
      <c r="AR126" t="s">
        <v>2079</v>
      </c>
      <c r="AS126" t="s">
        <v>2080</v>
      </c>
      <c r="AT126" t="s">
        <v>890</v>
      </c>
      <c r="AU126">
        <v>2004</v>
      </c>
      <c r="AV126">
        <v>21</v>
      </c>
      <c r="AW126">
        <v>12</v>
      </c>
      <c r="AX126" t="s">
        <v>74</v>
      </c>
      <c r="AY126" t="s">
        <v>74</v>
      </c>
      <c r="AZ126" t="s">
        <v>74</v>
      </c>
      <c r="BA126" t="s">
        <v>74</v>
      </c>
      <c r="BB126">
        <v>1348</v>
      </c>
      <c r="BC126">
        <v>1348</v>
      </c>
      <c r="BD126" t="s">
        <v>74</v>
      </c>
      <c r="BE126" t="s">
        <v>74</v>
      </c>
      <c r="BF126" t="s">
        <v>74</v>
      </c>
      <c r="BG126" t="s">
        <v>74</v>
      </c>
      <c r="BH126" t="s">
        <v>74</v>
      </c>
      <c r="BI126">
        <v>1</v>
      </c>
      <c r="BJ126" t="s">
        <v>205</v>
      </c>
      <c r="BK126" t="s">
        <v>139</v>
      </c>
      <c r="BL126" t="s">
        <v>205</v>
      </c>
      <c r="BM126" t="s">
        <v>2081</v>
      </c>
      <c r="BN126" t="s">
        <v>74</v>
      </c>
      <c r="BO126" t="s">
        <v>74</v>
      </c>
      <c r="BP126" t="s">
        <v>74</v>
      </c>
      <c r="BQ126" t="s">
        <v>74</v>
      </c>
      <c r="BR126" t="s">
        <v>98</v>
      </c>
      <c r="BS126" t="s">
        <v>2082</v>
      </c>
      <c r="BT126" t="str">
        <f>HYPERLINK("https%3A%2F%2Fwww.webofscience.com%2Fwos%2Fwoscc%2Ffull-record%2FWOS:000237651300721","View Full Record in Web of Science")</f>
        <v>View Full Record in Web of Science</v>
      </c>
    </row>
    <row r="127" spans="1:72" x14ac:dyDescent="0.15">
      <c r="A127" t="s">
        <v>122</v>
      </c>
      <c r="B127" t="s">
        <v>2083</v>
      </c>
      <c r="C127" t="s">
        <v>74</v>
      </c>
      <c r="D127" t="s">
        <v>74</v>
      </c>
      <c r="E127" t="s">
        <v>74</v>
      </c>
      <c r="F127" t="s">
        <v>2083</v>
      </c>
      <c r="G127" t="s">
        <v>74</v>
      </c>
      <c r="H127" t="s">
        <v>74</v>
      </c>
      <c r="I127" t="s">
        <v>2084</v>
      </c>
      <c r="J127" t="s">
        <v>230</v>
      </c>
      <c r="K127" t="s">
        <v>74</v>
      </c>
      <c r="L127" t="s">
        <v>74</v>
      </c>
      <c r="M127" t="s">
        <v>79</v>
      </c>
      <c r="N127" t="s">
        <v>126</v>
      </c>
      <c r="O127" t="s">
        <v>74</v>
      </c>
      <c r="P127" t="s">
        <v>74</v>
      </c>
      <c r="Q127" t="s">
        <v>74</v>
      </c>
      <c r="R127" t="s">
        <v>74</v>
      </c>
      <c r="S127" t="s">
        <v>74</v>
      </c>
      <c r="T127" t="s">
        <v>74</v>
      </c>
      <c r="U127" t="s">
        <v>2085</v>
      </c>
      <c r="V127" t="s">
        <v>2086</v>
      </c>
      <c r="W127" t="s">
        <v>2087</v>
      </c>
      <c r="X127" t="s">
        <v>2088</v>
      </c>
      <c r="Y127" t="s">
        <v>2089</v>
      </c>
      <c r="Z127" t="s">
        <v>2090</v>
      </c>
      <c r="AA127" t="s">
        <v>2091</v>
      </c>
      <c r="AB127" t="s">
        <v>2092</v>
      </c>
      <c r="AC127" t="s">
        <v>74</v>
      </c>
      <c r="AD127" t="s">
        <v>74</v>
      </c>
      <c r="AE127" t="s">
        <v>74</v>
      </c>
      <c r="AF127" t="s">
        <v>74</v>
      </c>
      <c r="AG127">
        <v>28</v>
      </c>
      <c r="AH127">
        <v>82</v>
      </c>
      <c r="AI127">
        <v>95</v>
      </c>
      <c r="AJ127">
        <v>7</v>
      </c>
      <c r="AK127">
        <v>113</v>
      </c>
      <c r="AL127" t="s">
        <v>239</v>
      </c>
      <c r="AM127" t="s">
        <v>240</v>
      </c>
      <c r="AN127" t="s">
        <v>241</v>
      </c>
      <c r="AO127" t="s">
        <v>242</v>
      </c>
      <c r="AP127" t="s">
        <v>74</v>
      </c>
      <c r="AQ127" t="s">
        <v>74</v>
      </c>
      <c r="AR127" t="s">
        <v>243</v>
      </c>
      <c r="AS127" t="s">
        <v>244</v>
      </c>
      <c r="AT127" t="s">
        <v>2093</v>
      </c>
      <c r="AU127">
        <v>2004</v>
      </c>
      <c r="AV127">
        <v>31</v>
      </c>
      <c r="AW127">
        <v>22</v>
      </c>
      <c r="AX127" t="s">
        <v>74</v>
      </c>
      <c r="AY127" t="s">
        <v>74</v>
      </c>
      <c r="AZ127" t="s">
        <v>74</v>
      </c>
      <c r="BA127" t="s">
        <v>74</v>
      </c>
      <c r="BB127" t="s">
        <v>74</v>
      </c>
      <c r="BC127" t="s">
        <v>74</v>
      </c>
      <c r="BD127" t="s">
        <v>2094</v>
      </c>
      <c r="BE127" t="s">
        <v>2095</v>
      </c>
      <c r="BF127" t="str">
        <f>HYPERLINK("http://dx.doi.org/10.1029/2004GL021541","http://dx.doi.org/10.1029/2004GL021541")</f>
        <v>http://dx.doi.org/10.1029/2004GL021541</v>
      </c>
      <c r="BG127" t="s">
        <v>74</v>
      </c>
      <c r="BH127" t="s">
        <v>74</v>
      </c>
      <c r="BI127">
        <v>4</v>
      </c>
      <c r="BJ127" t="s">
        <v>248</v>
      </c>
      <c r="BK127" t="s">
        <v>139</v>
      </c>
      <c r="BL127" t="s">
        <v>249</v>
      </c>
      <c r="BM127" t="s">
        <v>2096</v>
      </c>
      <c r="BN127" t="s">
        <v>74</v>
      </c>
      <c r="BO127" t="s">
        <v>273</v>
      </c>
      <c r="BP127" t="s">
        <v>74</v>
      </c>
      <c r="BQ127" t="s">
        <v>74</v>
      </c>
      <c r="BR127" t="s">
        <v>98</v>
      </c>
      <c r="BS127" t="s">
        <v>2097</v>
      </c>
      <c r="BT127" t="str">
        <f>HYPERLINK("https%3A%2F%2Fwww.webofscience.com%2Fwos%2Fwoscc%2Ffull-record%2FWOS:000225583000005","View Full Record in Web of Science")</f>
        <v>View Full Record in Web of Science</v>
      </c>
    </row>
    <row r="128" spans="1:72" x14ac:dyDescent="0.15">
      <c r="A128" t="s">
        <v>122</v>
      </c>
      <c r="B128" t="s">
        <v>2098</v>
      </c>
      <c r="C128" t="s">
        <v>74</v>
      </c>
      <c r="D128" t="s">
        <v>74</v>
      </c>
      <c r="E128" t="s">
        <v>74</v>
      </c>
      <c r="F128" t="s">
        <v>2098</v>
      </c>
      <c r="G128" t="s">
        <v>74</v>
      </c>
      <c r="H128" t="s">
        <v>74</v>
      </c>
      <c r="I128" t="s">
        <v>2099</v>
      </c>
      <c r="J128" t="s">
        <v>277</v>
      </c>
      <c r="K128" t="s">
        <v>74</v>
      </c>
      <c r="L128" t="s">
        <v>74</v>
      </c>
      <c r="M128" t="s">
        <v>79</v>
      </c>
      <c r="N128" t="s">
        <v>126</v>
      </c>
      <c r="O128" t="s">
        <v>74</v>
      </c>
      <c r="P128" t="s">
        <v>74</v>
      </c>
      <c r="Q128" t="s">
        <v>74</v>
      </c>
      <c r="R128" t="s">
        <v>74</v>
      </c>
      <c r="S128" t="s">
        <v>74</v>
      </c>
      <c r="T128" t="s">
        <v>2100</v>
      </c>
      <c r="U128" t="s">
        <v>2101</v>
      </c>
      <c r="V128" t="s">
        <v>2102</v>
      </c>
      <c r="W128" t="s">
        <v>2103</v>
      </c>
      <c r="X128" t="s">
        <v>2104</v>
      </c>
      <c r="Y128" t="s">
        <v>2105</v>
      </c>
      <c r="Z128" t="s">
        <v>2106</v>
      </c>
      <c r="AA128" t="s">
        <v>2107</v>
      </c>
      <c r="AB128" t="s">
        <v>2108</v>
      </c>
      <c r="AC128" t="s">
        <v>74</v>
      </c>
      <c r="AD128" t="s">
        <v>74</v>
      </c>
      <c r="AE128" t="s">
        <v>74</v>
      </c>
      <c r="AF128" t="s">
        <v>74</v>
      </c>
      <c r="AG128">
        <v>42</v>
      </c>
      <c r="AH128">
        <v>20</v>
      </c>
      <c r="AI128">
        <v>25</v>
      </c>
      <c r="AJ128">
        <v>0</v>
      </c>
      <c r="AK128">
        <v>5</v>
      </c>
      <c r="AL128" t="s">
        <v>239</v>
      </c>
      <c r="AM128" t="s">
        <v>240</v>
      </c>
      <c r="AN128" t="s">
        <v>241</v>
      </c>
      <c r="AO128" t="s">
        <v>284</v>
      </c>
      <c r="AP128" t="s">
        <v>285</v>
      </c>
      <c r="AQ128" t="s">
        <v>74</v>
      </c>
      <c r="AR128" t="s">
        <v>286</v>
      </c>
      <c r="AS128" t="s">
        <v>287</v>
      </c>
      <c r="AT128" t="s">
        <v>2093</v>
      </c>
      <c r="AU128">
        <v>2004</v>
      </c>
      <c r="AV128">
        <v>109</v>
      </c>
      <c r="AW128" t="s">
        <v>2109</v>
      </c>
      <c r="AX128" t="s">
        <v>74</v>
      </c>
      <c r="AY128" t="s">
        <v>74</v>
      </c>
      <c r="AZ128" t="s">
        <v>74</v>
      </c>
      <c r="BA128" t="s">
        <v>74</v>
      </c>
      <c r="BB128" t="s">
        <v>74</v>
      </c>
      <c r="BC128" t="s">
        <v>74</v>
      </c>
      <c r="BD128" t="s">
        <v>2110</v>
      </c>
      <c r="BE128" t="s">
        <v>2111</v>
      </c>
      <c r="BF128" t="str">
        <f>HYPERLINK("http://dx.doi.org/10.1029/2004JD004560","http://dx.doi.org/10.1029/2004JD004560")</f>
        <v>http://dx.doi.org/10.1029/2004JD004560</v>
      </c>
      <c r="BG128" t="s">
        <v>74</v>
      </c>
      <c r="BH128" t="s">
        <v>74</v>
      </c>
      <c r="BI128">
        <v>9</v>
      </c>
      <c r="BJ128" t="s">
        <v>291</v>
      </c>
      <c r="BK128" t="s">
        <v>139</v>
      </c>
      <c r="BL128" t="s">
        <v>291</v>
      </c>
      <c r="BM128" t="s">
        <v>2112</v>
      </c>
      <c r="BN128" t="s">
        <v>74</v>
      </c>
      <c r="BO128" t="s">
        <v>207</v>
      </c>
      <c r="BP128" t="s">
        <v>74</v>
      </c>
      <c r="BQ128" t="s">
        <v>74</v>
      </c>
      <c r="BR128" t="s">
        <v>98</v>
      </c>
      <c r="BS128" t="s">
        <v>2113</v>
      </c>
      <c r="BT128" t="str">
        <f>HYPERLINK("https%3A%2F%2Fwww.webofscience.com%2Fwos%2Fwoscc%2Ffull-record%2FWOS:000225584200001","View Full Record in Web of Science")</f>
        <v>View Full Record in Web of Science</v>
      </c>
    </row>
    <row r="129" spans="1:72" x14ac:dyDescent="0.15">
      <c r="A129" t="s">
        <v>122</v>
      </c>
      <c r="B129" t="s">
        <v>2114</v>
      </c>
      <c r="C129" t="s">
        <v>74</v>
      </c>
      <c r="D129" t="s">
        <v>74</v>
      </c>
      <c r="E129" t="s">
        <v>74</v>
      </c>
      <c r="F129" t="s">
        <v>2114</v>
      </c>
      <c r="G129" t="s">
        <v>74</v>
      </c>
      <c r="H129" t="s">
        <v>74</v>
      </c>
      <c r="I129" t="s">
        <v>2115</v>
      </c>
      <c r="J129" t="s">
        <v>277</v>
      </c>
      <c r="K129" t="s">
        <v>74</v>
      </c>
      <c r="L129" t="s">
        <v>74</v>
      </c>
      <c r="M129" t="s">
        <v>79</v>
      </c>
      <c r="N129" t="s">
        <v>126</v>
      </c>
      <c r="O129" t="s">
        <v>74</v>
      </c>
      <c r="P129" t="s">
        <v>74</v>
      </c>
      <c r="Q129" t="s">
        <v>74</v>
      </c>
      <c r="R129" t="s">
        <v>74</v>
      </c>
      <c r="S129" t="s">
        <v>74</v>
      </c>
      <c r="T129" t="s">
        <v>2116</v>
      </c>
      <c r="U129" t="s">
        <v>2117</v>
      </c>
      <c r="V129" t="s">
        <v>2118</v>
      </c>
      <c r="W129" t="s">
        <v>2119</v>
      </c>
      <c r="X129" t="s">
        <v>2120</v>
      </c>
      <c r="Y129" t="s">
        <v>2121</v>
      </c>
      <c r="Z129" t="s">
        <v>2122</v>
      </c>
      <c r="AA129" t="s">
        <v>2123</v>
      </c>
      <c r="AB129" t="s">
        <v>2124</v>
      </c>
      <c r="AC129" t="s">
        <v>74</v>
      </c>
      <c r="AD129" t="s">
        <v>74</v>
      </c>
      <c r="AE129" t="s">
        <v>74</v>
      </c>
      <c r="AF129" t="s">
        <v>74</v>
      </c>
      <c r="AG129">
        <v>52</v>
      </c>
      <c r="AH129">
        <v>47</v>
      </c>
      <c r="AI129">
        <v>49</v>
      </c>
      <c r="AJ129">
        <v>1</v>
      </c>
      <c r="AK129">
        <v>31</v>
      </c>
      <c r="AL129" t="s">
        <v>239</v>
      </c>
      <c r="AM129" t="s">
        <v>240</v>
      </c>
      <c r="AN129" t="s">
        <v>241</v>
      </c>
      <c r="AO129" t="s">
        <v>284</v>
      </c>
      <c r="AP129" t="s">
        <v>285</v>
      </c>
      <c r="AQ129" t="s">
        <v>74</v>
      </c>
      <c r="AR129" t="s">
        <v>286</v>
      </c>
      <c r="AS129" t="s">
        <v>287</v>
      </c>
      <c r="AT129" t="s">
        <v>2093</v>
      </c>
      <c r="AU129">
        <v>2004</v>
      </c>
      <c r="AV129">
        <v>109</v>
      </c>
      <c r="AW129" t="s">
        <v>2109</v>
      </c>
      <c r="AX129" t="s">
        <v>74</v>
      </c>
      <c r="AY129" t="s">
        <v>74</v>
      </c>
      <c r="AZ129" t="s">
        <v>74</v>
      </c>
      <c r="BA129" t="s">
        <v>74</v>
      </c>
      <c r="BB129" t="s">
        <v>74</v>
      </c>
      <c r="BC129" t="s">
        <v>74</v>
      </c>
      <c r="BD129" t="s">
        <v>2125</v>
      </c>
      <c r="BE129" t="s">
        <v>2126</v>
      </c>
      <c r="BF129" t="str">
        <f>HYPERLINK("http://dx.doi.org/10.1029/2004JD004932","http://dx.doi.org/10.1029/2004JD004932")</f>
        <v>http://dx.doi.org/10.1029/2004JD004932</v>
      </c>
      <c r="BG129" t="s">
        <v>74</v>
      </c>
      <c r="BH129" t="s">
        <v>74</v>
      </c>
      <c r="BI129">
        <v>15</v>
      </c>
      <c r="BJ129" t="s">
        <v>291</v>
      </c>
      <c r="BK129" t="s">
        <v>139</v>
      </c>
      <c r="BL129" t="s">
        <v>291</v>
      </c>
      <c r="BM129" t="s">
        <v>2112</v>
      </c>
      <c r="BN129" t="s">
        <v>74</v>
      </c>
      <c r="BO129" t="s">
        <v>273</v>
      </c>
      <c r="BP129" t="s">
        <v>74</v>
      </c>
      <c r="BQ129" t="s">
        <v>74</v>
      </c>
      <c r="BR129" t="s">
        <v>98</v>
      </c>
      <c r="BS129" t="s">
        <v>2127</v>
      </c>
      <c r="BT129" t="str">
        <f>HYPERLINK("https%3A%2F%2Fwww.webofscience.com%2Fwos%2Fwoscc%2Ffull-record%2FWOS:000225584200004","View Full Record in Web of Science")</f>
        <v>View Full Record in Web of Science</v>
      </c>
    </row>
    <row r="130" spans="1:72" x14ac:dyDescent="0.15">
      <c r="A130" t="s">
        <v>122</v>
      </c>
      <c r="B130" t="s">
        <v>2128</v>
      </c>
      <c r="C130" t="s">
        <v>74</v>
      </c>
      <c r="D130" t="s">
        <v>74</v>
      </c>
      <c r="E130" t="s">
        <v>74</v>
      </c>
      <c r="F130" t="s">
        <v>2128</v>
      </c>
      <c r="G130" t="s">
        <v>74</v>
      </c>
      <c r="H130" t="s">
        <v>74</v>
      </c>
      <c r="I130" t="s">
        <v>2129</v>
      </c>
      <c r="J130" t="s">
        <v>580</v>
      </c>
      <c r="K130" t="s">
        <v>74</v>
      </c>
      <c r="L130" t="s">
        <v>74</v>
      </c>
      <c r="M130" t="s">
        <v>79</v>
      </c>
      <c r="N130" t="s">
        <v>126</v>
      </c>
      <c r="O130" t="s">
        <v>74</v>
      </c>
      <c r="P130" t="s">
        <v>74</v>
      </c>
      <c r="Q130" t="s">
        <v>74</v>
      </c>
      <c r="R130" t="s">
        <v>74</v>
      </c>
      <c r="S130" t="s">
        <v>74</v>
      </c>
      <c r="T130" t="s">
        <v>2130</v>
      </c>
      <c r="U130" t="s">
        <v>2131</v>
      </c>
      <c r="V130" t="s">
        <v>2132</v>
      </c>
      <c r="W130" t="s">
        <v>2133</v>
      </c>
      <c r="X130" t="s">
        <v>2134</v>
      </c>
      <c r="Y130" t="s">
        <v>2135</v>
      </c>
      <c r="Z130" t="s">
        <v>2136</v>
      </c>
      <c r="AA130" t="s">
        <v>74</v>
      </c>
      <c r="AB130" t="s">
        <v>74</v>
      </c>
      <c r="AC130" t="s">
        <v>74</v>
      </c>
      <c r="AD130" t="s">
        <v>74</v>
      </c>
      <c r="AE130" t="s">
        <v>74</v>
      </c>
      <c r="AF130" t="s">
        <v>74</v>
      </c>
      <c r="AG130">
        <v>43</v>
      </c>
      <c r="AH130">
        <v>51</v>
      </c>
      <c r="AI130">
        <v>59</v>
      </c>
      <c r="AJ130">
        <v>1</v>
      </c>
      <c r="AK130">
        <v>24</v>
      </c>
      <c r="AL130" t="s">
        <v>562</v>
      </c>
      <c r="AM130" t="s">
        <v>532</v>
      </c>
      <c r="AN130" t="s">
        <v>563</v>
      </c>
      <c r="AO130" t="s">
        <v>591</v>
      </c>
      <c r="AP130" t="s">
        <v>592</v>
      </c>
      <c r="AQ130" t="s">
        <v>74</v>
      </c>
      <c r="AR130" t="s">
        <v>593</v>
      </c>
      <c r="AS130" t="s">
        <v>594</v>
      </c>
      <c r="AT130" t="s">
        <v>2093</v>
      </c>
      <c r="AU130">
        <v>2004</v>
      </c>
      <c r="AV130">
        <v>212</v>
      </c>
      <c r="AW130" t="s">
        <v>595</v>
      </c>
      <c r="AX130" t="s">
        <v>74</v>
      </c>
      <c r="AY130" t="s">
        <v>74</v>
      </c>
      <c r="AZ130" t="s">
        <v>74</v>
      </c>
      <c r="BA130" t="s">
        <v>74</v>
      </c>
      <c r="BB130">
        <v>183</v>
      </c>
      <c r="BC130">
        <v>197</v>
      </c>
      <c r="BD130" t="s">
        <v>74</v>
      </c>
      <c r="BE130" t="s">
        <v>2137</v>
      </c>
      <c r="BF130" t="str">
        <f>HYPERLINK("http://dx.doi.org/10.1016/j.margeo.2004.09.001","http://dx.doi.org/10.1016/j.margeo.2004.09.001")</f>
        <v>http://dx.doi.org/10.1016/j.margeo.2004.09.001</v>
      </c>
      <c r="BG130" t="s">
        <v>74</v>
      </c>
      <c r="BH130" t="s">
        <v>74</v>
      </c>
      <c r="BI130">
        <v>15</v>
      </c>
      <c r="BJ130" t="s">
        <v>597</v>
      </c>
      <c r="BK130" t="s">
        <v>139</v>
      </c>
      <c r="BL130" t="s">
        <v>598</v>
      </c>
      <c r="BM130" t="s">
        <v>2138</v>
      </c>
      <c r="BN130" t="s">
        <v>74</v>
      </c>
      <c r="BO130" t="s">
        <v>74</v>
      </c>
      <c r="BP130" t="s">
        <v>74</v>
      </c>
      <c r="BQ130" t="s">
        <v>74</v>
      </c>
      <c r="BR130" t="s">
        <v>98</v>
      </c>
      <c r="BS130" t="s">
        <v>2139</v>
      </c>
      <c r="BT130" t="str">
        <f>HYPERLINK("https%3A%2F%2Fwww.webofscience.com%2Fwos%2Fwoscc%2Ffull-record%2FWOS:000225418600011","View Full Record in Web of Science")</f>
        <v>View Full Record in Web of Science</v>
      </c>
    </row>
    <row r="131" spans="1:72" x14ac:dyDescent="0.15">
      <c r="A131" t="s">
        <v>122</v>
      </c>
      <c r="B131" t="s">
        <v>2140</v>
      </c>
      <c r="C131" t="s">
        <v>74</v>
      </c>
      <c r="D131" t="s">
        <v>74</v>
      </c>
      <c r="E131" t="s">
        <v>74</v>
      </c>
      <c r="F131" t="s">
        <v>2140</v>
      </c>
      <c r="G131" t="s">
        <v>74</v>
      </c>
      <c r="H131" t="s">
        <v>74</v>
      </c>
      <c r="I131" t="s">
        <v>2141</v>
      </c>
      <c r="J131" t="s">
        <v>2142</v>
      </c>
      <c r="K131" t="s">
        <v>74</v>
      </c>
      <c r="L131" t="s">
        <v>74</v>
      </c>
      <c r="M131" t="s">
        <v>79</v>
      </c>
      <c r="N131" t="s">
        <v>126</v>
      </c>
      <c r="O131" t="s">
        <v>74</v>
      </c>
      <c r="P131" t="s">
        <v>74</v>
      </c>
      <c r="Q131" t="s">
        <v>74</v>
      </c>
      <c r="R131" t="s">
        <v>74</v>
      </c>
      <c r="S131" t="s">
        <v>74</v>
      </c>
      <c r="T131" t="s">
        <v>74</v>
      </c>
      <c r="U131" t="s">
        <v>2143</v>
      </c>
      <c r="V131" t="s">
        <v>74</v>
      </c>
      <c r="W131" t="s">
        <v>2144</v>
      </c>
      <c r="X131" t="s">
        <v>2145</v>
      </c>
      <c r="Y131" t="s">
        <v>2146</v>
      </c>
      <c r="Z131" t="s">
        <v>2147</v>
      </c>
      <c r="AA131" t="s">
        <v>74</v>
      </c>
      <c r="AB131" t="s">
        <v>74</v>
      </c>
      <c r="AC131" t="s">
        <v>74</v>
      </c>
      <c r="AD131" t="s">
        <v>74</v>
      </c>
      <c r="AE131" t="s">
        <v>74</v>
      </c>
      <c r="AF131" t="s">
        <v>74</v>
      </c>
      <c r="AG131">
        <v>29</v>
      </c>
      <c r="AH131">
        <v>1</v>
      </c>
      <c r="AI131">
        <v>2</v>
      </c>
      <c r="AJ131">
        <v>0</v>
      </c>
      <c r="AK131">
        <v>2</v>
      </c>
      <c r="AL131" t="s">
        <v>2148</v>
      </c>
      <c r="AM131" t="s">
        <v>2149</v>
      </c>
      <c r="AN131" t="s">
        <v>2150</v>
      </c>
      <c r="AO131" t="s">
        <v>2151</v>
      </c>
      <c r="AP131" t="s">
        <v>74</v>
      </c>
      <c r="AQ131" t="s">
        <v>74</v>
      </c>
      <c r="AR131" t="s">
        <v>2152</v>
      </c>
      <c r="AS131" t="s">
        <v>2153</v>
      </c>
      <c r="AT131" t="s">
        <v>2154</v>
      </c>
      <c r="AU131">
        <v>2004</v>
      </c>
      <c r="AV131">
        <v>87</v>
      </c>
      <c r="AW131">
        <v>10</v>
      </c>
      <c r="AX131" t="s">
        <v>74</v>
      </c>
      <c r="AY131" t="s">
        <v>74</v>
      </c>
      <c r="AZ131" t="s">
        <v>74</v>
      </c>
      <c r="BA131" t="s">
        <v>74</v>
      </c>
      <c r="BB131">
        <v>1341</v>
      </c>
      <c r="BC131">
        <v>1344</v>
      </c>
      <c r="BD131" t="s">
        <v>74</v>
      </c>
      <c r="BE131" t="s">
        <v>74</v>
      </c>
      <c r="BF131" t="s">
        <v>74</v>
      </c>
      <c r="BG131" t="s">
        <v>74</v>
      </c>
      <c r="BH131" t="s">
        <v>74</v>
      </c>
      <c r="BI131">
        <v>4</v>
      </c>
      <c r="BJ131" t="s">
        <v>381</v>
      </c>
      <c r="BK131" t="s">
        <v>139</v>
      </c>
      <c r="BL131" t="s">
        <v>382</v>
      </c>
      <c r="BM131" t="s">
        <v>2155</v>
      </c>
      <c r="BN131" t="s">
        <v>74</v>
      </c>
      <c r="BO131" t="s">
        <v>74</v>
      </c>
      <c r="BP131" t="s">
        <v>74</v>
      </c>
      <c r="BQ131" t="s">
        <v>74</v>
      </c>
      <c r="BR131" t="s">
        <v>98</v>
      </c>
      <c r="BS131" t="s">
        <v>2156</v>
      </c>
      <c r="BT131" t="str">
        <f>HYPERLINK("https%3A%2F%2Fwww.webofscience.com%2Fwos%2Fwoscc%2Ffull-record%2FWOS:000225581900015","View Full Record in Web of Science")</f>
        <v>View Full Record in Web of Science</v>
      </c>
    </row>
    <row r="132" spans="1:72" x14ac:dyDescent="0.15">
      <c r="A132" t="s">
        <v>122</v>
      </c>
      <c r="B132" t="s">
        <v>2157</v>
      </c>
      <c r="C132" t="s">
        <v>74</v>
      </c>
      <c r="D132" t="s">
        <v>74</v>
      </c>
      <c r="E132" t="s">
        <v>74</v>
      </c>
      <c r="F132" t="s">
        <v>2157</v>
      </c>
      <c r="G132" t="s">
        <v>74</v>
      </c>
      <c r="H132" t="s">
        <v>74</v>
      </c>
      <c r="I132" t="s">
        <v>2158</v>
      </c>
      <c r="J132" t="s">
        <v>2159</v>
      </c>
      <c r="K132" t="s">
        <v>74</v>
      </c>
      <c r="L132" t="s">
        <v>74</v>
      </c>
      <c r="M132" t="s">
        <v>79</v>
      </c>
      <c r="N132" t="s">
        <v>126</v>
      </c>
      <c r="O132" t="s">
        <v>74</v>
      </c>
      <c r="P132" t="s">
        <v>74</v>
      </c>
      <c r="Q132" t="s">
        <v>74</v>
      </c>
      <c r="R132" t="s">
        <v>74</v>
      </c>
      <c r="S132" t="s">
        <v>74</v>
      </c>
      <c r="T132" t="s">
        <v>74</v>
      </c>
      <c r="U132" t="s">
        <v>2160</v>
      </c>
      <c r="V132" t="s">
        <v>2161</v>
      </c>
      <c r="W132" t="s">
        <v>2162</v>
      </c>
      <c r="X132" t="s">
        <v>2163</v>
      </c>
      <c r="Y132" t="s">
        <v>2164</v>
      </c>
      <c r="Z132" t="s">
        <v>2165</v>
      </c>
      <c r="AA132" t="s">
        <v>2166</v>
      </c>
      <c r="AB132" t="s">
        <v>2167</v>
      </c>
      <c r="AC132" t="s">
        <v>2168</v>
      </c>
      <c r="AD132" t="s">
        <v>2169</v>
      </c>
      <c r="AE132" t="s">
        <v>74</v>
      </c>
      <c r="AF132" t="s">
        <v>74</v>
      </c>
      <c r="AG132">
        <v>40</v>
      </c>
      <c r="AH132">
        <v>58</v>
      </c>
      <c r="AI132">
        <v>65</v>
      </c>
      <c r="AJ132">
        <v>0</v>
      </c>
      <c r="AK132">
        <v>15</v>
      </c>
      <c r="AL132" t="s">
        <v>2170</v>
      </c>
      <c r="AM132" t="s">
        <v>240</v>
      </c>
      <c r="AN132" t="s">
        <v>2171</v>
      </c>
      <c r="AO132" t="s">
        <v>2172</v>
      </c>
      <c r="AP132" t="s">
        <v>74</v>
      </c>
      <c r="AQ132" t="s">
        <v>74</v>
      </c>
      <c r="AR132" t="s">
        <v>2173</v>
      </c>
      <c r="AS132" t="s">
        <v>2174</v>
      </c>
      <c r="AT132" t="s">
        <v>2175</v>
      </c>
      <c r="AU132">
        <v>2004</v>
      </c>
      <c r="AV132">
        <v>43</v>
      </c>
      <c r="AW132">
        <v>46</v>
      </c>
      <c r="AX132" t="s">
        <v>74</v>
      </c>
      <c r="AY132" t="s">
        <v>74</v>
      </c>
      <c r="AZ132" t="s">
        <v>74</v>
      </c>
      <c r="BA132" t="s">
        <v>74</v>
      </c>
      <c r="BB132">
        <v>14676</v>
      </c>
      <c r="BC132">
        <v>14683</v>
      </c>
      <c r="BD132" t="s">
        <v>74</v>
      </c>
      <c r="BE132" t="s">
        <v>2176</v>
      </c>
      <c r="BF132" t="str">
        <f>HYPERLINK("http://dx.doi.org/10.1021/bi049004x","http://dx.doi.org/10.1021/bi049004x")</f>
        <v>http://dx.doi.org/10.1021/bi049004x</v>
      </c>
      <c r="BG132" t="s">
        <v>74</v>
      </c>
      <c r="BH132" t="s">
        <v>74</v>
      </c>
      <c r="BI132">
        <v>8</v>
      </c>
      <c r="BJ132" t="s">
        <v>1214</v>
      </c>
      <c r="BK132" t="s">
        <v>139</v>
      </c>
      <c r="BL132" t="s">
        <v>1214</v>
      </c>
      <c r="BM132" t="s">
        <v>2177</v>
      </c>
      <c r="BN132">
        <v>15544338</v>
      </c>
      <c r="BO132" t="s">
        <v>74</v>
      </c>
      <c r="BP132" t="s">
        <v>74</v>
      </c>
      <c r="BQ132" t="s">
        <v>74</v>
      </c>
      <c r="BR132" t="s">
        <v>98</v>
      </c>
      <c r="BS132" t="s">
        <v>2178</v>
      </c>
      <c r="BT132" t="str">
        <f>HYPERLINK("https%3A%2F%2Fwww.webofscience.com%2Fwos%2Fwoscc%2Ffull-record%2FWOS:000225172800018","View Full Record in Web of Science")</f>
        <v>View Full Record in Web of Science</v>
      </c>
    </row>
    <row r="133" spans="1:72" x14ac:dyDescent="0.15">
      <c r="A133" t="s">
        <v>122</v>
      </c>
      <c r="B133" t="s">
        <v>2179</v>
      </c>
      <c r="C133" t="s">
        <v>74</v>
      </c>
      <c r="D133" t="s">
        <v>74</v>
      </c>
      <c r="E133" t="s">
        <v>74</v>
      </c>
      <c r="F133" t="s">
        <v>2179</v>
      </c>
      <c r="G133" t="s">
        <v>74</v>
      </c>
      <c r="H133" t="s">
        <v>74</v>
      </c>
      <c r="I133" t="s">
        <v>2180</v>
      </c>
      <c r="J133" t="s">
        <v>2159</v>
      </c>
      <c r="K133" t="s">
        <v>74</v>
      </c>
      <c r="L133" t="s">
        <v>74</v>
      </c>
      <c r="M133" t="s">
        <v>79</v>
      </c>
      <c r="N133" t="s">
        <v>126</v>
      </c>
      <c r="O133" t="s">
        <v>74</v>
      </c>
      <c r="P133" t="s">
        <v>74</v>
      </c>
      <c r="Q133" t="s">
        <v>74</v>
      </c>
      <c r="R133" t="s">
        <v>74</v>
      </c>
      <c r="S133" t="s">
        <v>74</v>
      </c>
      <c r="T133" t="s">
        <v>74</v>
      </c>
      <c r="U133" t="s">
        <v>2181</v>
      </c>
      <c r="V133" t="s">
        <v>2182</v>
      </c>
      <c r="W133" t="s">
        <v>2183</v>
      </c>
      <c r="X133" t="s">
        <v>2184</v>
      </c>
      <c r="Y133" t="s">
        <v>2185</v>
      </c>
      <c r="Z133" t="s">
        <v>2186</v>
      </c>
      <c r="AA133" t="s">
        <v>2187</v>
      </c>
      <c r="AB133" t="s">
        <v>2188</v>
      </c>
      <c r="AC133" t="s">
        <v>74</v>
      </c>
      <c r="AD133" t="s">
        <v>74</v>
      </c>
      <c r="AE133" t="s">
        <v>74</v>
      </c>
      <c r="AF133" t="s">
        <v>74</v>
      </c>
      <c r="AG133">
        <v>39</v>
      </c>
      <c r="AH133">
        <v>6</v>
      </c>
      <c r="AI133">
        <v>6</v>
      </c>
      <c r="AJ133">
        <v>0</v>
      </c>
      <c r="AK133">
        <v>2</v>
      </c>
      <c r="AL133" t="s">
        <v>2170</v>
      </c>
      <c r="AM133" t="s">
        <v>240</v>
      </c>
      <c r="AN133" t="s">
        <v>2171</v>
      </c>
      <c r="AO133" t="s">
        <v>2172</v>
      </c>
      <c r="AP133" t="s">
        <v>74</v>
      </c>
      <c r="AQ133" t="s">
        <v>74</v>
      </c>
      <c r="AR133" t="s">
        <v>2173</v>
      </c>
      <c r="AS133" t="s">
        <v>2174</v>
      </c>
      <c r="AT133" t="s">
        <v>2175</v>
      </c>
      <c r="AU133">
        <v>2004</v>
      </c>
      <c r="AV133">
        <v>43</v>
      </c>
      <c r="AW133">
        <v>46</v>
      </c>
      <c r="AX133" t="s">
        <v>74</v>
      </c>
      <c r="AY133" t="s">
        <v>74</v>
      </c>
      <c r="AZ133" t="s">
        <v>74</v>
      </c>
      <c r="BA133" t="s">
        <v>74</v>
      </c>
      <c r="BB133">
        <v>14759</v>
      </c>
      <c r="BC133">
        <v>14766</v>
      </c>
      <c r="BD133" t="s">
        <v>74</v>
      </c>
      <c r="BE133" t="s">
        <v>2189</v>
      </c>
      <c r="BF133" t="str">
        <f>HYPERLINK("http://dx.doi.org/10.1021/bi048949b","http://dx.doi.org/10.1021/bi048949b")</f>
        <v>http://dx.doi.org/10.1021/bi048949b</v>
      </c>
      <c r="BG133" t="s">
        <v>74</v>
      </c>
      <c r="BH133" t="s">
        <v>74</v>
      </c>
      <c r="BI133">
        <v>8</v>
      </c>
      <c r="BJ133" t="s">
        <v>1214</v>
      </c>
      <c r="BK133" t="s">
        <v>139</v>
      </c>
      <c r="BL133" t="s">
        <v>1214</v>
      </c>
      <c r="BM133" t="s">
        <v>2177</v>
      </c>
      <c r="BN133">
        <v>15544346</v>
      </c>
      <c r="BO133" t="s">
        <v>74</v>
      </c>
      <c r="BP133" t="s">
        <v>74</v>
      </c>
      <c r="BQ133" t="s">
        <v>74</v>
      </c>
      <c r="BR133" t="s">
        <v>98</v>
      </c>
      <c r="BS133" t="s">
        <v>2190</v>
      </c>
      <c r="BT133" t="str">
        <f>HYPERLINK("https%3A%2F%2Fwww.webofscience.com%2Fwos%2Fwoscc%2Ffull-record%2FWOS:000225172800026","View Full Record in Web of Science")</f>
        <v>View Full Record in Web of Science</v>
      </c>
    </row>
    <row r="134" spans="1:72" x14ac:dyDescent="0.15">
      <c r="A134" t="s">
        <v>122</v>
      </c>
      <c r="B134" t="s">
        <v>2191</v>
      </c>
      <c r="C134" t="s">
        <v>74</v>
      </c>
      <c r="D134" t="s">
        <v>74</v>
      </c>
      <c r="E134" t="s">
        <v>74</v>
      </c>
      <c r="F134" t="s">
        <v>2191</v>
      </c>
      <c r="G134" t="s">
        <v>74</v>
      </c>
      <c r="H134" t="s">
        <v>74</v>
      </c>
      <c r="I134" t="s">
        <v>2192</v>
      </c>
      <c r="J134" t="s">
        <v>230</v>
      </c>
      <c r="K134" t="s">
        <v>74</v>
      </c>
      <c r="L134" t="s">
        <v>74</v>
      </c>
      <c r="M134" t="s">
        <v>79</v>
      </c>
      <c r="N134" t="s">
        <v>126</v>
      </c>
      <c r="O134" t="s">
        <v>74</v>
      </c>
      <c r="P134" t="s">
        <v>74</v>
      </c>
      <c r="Q134" t="s">
        <v>74</v>
      </c>
      <c r="R134" t="s">
        <v>74</v>
      </c>
      <c r="S134" t="s">
        <v>74</v>
      </c>
      <c r="T134" t="s">
        <v>74</v>
      </c>
      <c r="U134" t="s">
        <v>74</v>
      </c>
      <c r="V134" t="s">
        <v>2193</v>
      </c>
      <c r="W134" t="s">
        <v>2194</v>
      </c>
      <c r="X134" t="s">
        <v>2195</v>
      </c>
      <c r="Y134" t="s">
        <v>2196</v>
      </c>
      <c r="Z134" t="s">
        <v>2197</v>
      </c>
      <c r="AA134" t="s">
        <v>2198</v>
      </c>
      <c r="AB134" t="s">
        <v>2199</v>
      </c>
      <c r="AC134" t="s">
        <v>74</v>
      </c>
      <c r="AD134" t="s">
        <v>74</v>
      </c>
      <c r="AE134" t="s">
        <v>74</v>
      </c>
      <c r="AF134" t="s">
        <v>74</v>
      </c>
      <c r="AG134">
        <v>12</v>
      </c>
      <c r="AH134">
        <v>15</v>
      </c>
      <c r="AI134">
        <v>16</v>
      </c>
      <c r="AJ134">
        <v>0</v>
      </c>
      <c r="AK134">
        <v>4</v>
      </c>
      <c r="AL134" t="s">
        <v>239</v>
      </c>
      <c r="AM134" t="s">
        <v>240</v>
      </c>
      <c r="AN134" t="s">
        <v>241</v>
      </c>
      <c r="AO134" t="s">
        <v>242</v>
      </c>
      <c r="AP134" t="s">
        <v>341</v>
      </c>
      <c r="AQ134" t="s">
        <v>74</v>
      </c>
      <c r="AR134" t="s">
        <v>243</v>
      </c>
      <c r="AS134" t="s">
        <v>244</v>
      </c>
      <c r="AT134" t="s">
        <v>2175</v>
      </c>
      <c r="AU134">
        <v>2004</v>
      </c>
      <c r="AV134">
        <v>31</v>
      </c>
      <c r="AW134">
        <v>22</v>
      </c>
      <c r="AX134" t="s">
        <v>74</v>
      </c>
      <c r="AY134" t="s">
        <v>74</v>
      </c>
      <c r="AZ134" t="s">
        <v>74</v>
      </c>
      <c r="BA134" t="s">
        <v>74</v>
      </c>
      <c r="BB134" t="s">
        <v>74</v>
      </c>
      <c r="BC134" t="s">
        <v>74</v>
      </c>
      <c r="BD134" t="s">
        <v>2200</v>
      </c>
      <c r="BE134" t="s">
        <v>2201</v>
      </c>
      <c r="BF134" t="str">
        <f>HYPERLINK("http://dx.doi.org/10.1029/2004GL020298","http://dx.doi.org/10.1029/2004GL020298")</f>
        <v>http://dx.doi.org/10.1029/2004GL020298</v>
      </c>
      <c r="BG134" t="s">
        <v>74</v>
      </c>
      <c r="BH134" t="s">
        <v>74</v>
      </c>
      <c r="BI134">
        <v>5</v>
      </c>
      <c r="BJ134" t="s">
        <v>248</v>
      </c>
      <c r="BK134" t="s">
        <v>139</v>
      </c>
      <c r="BL134" t="s">
        <v>249</v>
      </c>
      <c r="BM134" t="s">
        <v>2202</v>
      </c>
      <c r="BN134" t="s">
        <v>74</v>
      </c>
      <c r="BO134" t="s">
        <v>273</v>
      </c>
      <c r="BP134" t="s">
        <v>74</v>
      </c>
      <c r="BQ134" t="s">
        <v>74</v>
      </c>
      <c r="BR134" t="s">
        <v>98</v>
      </c>
      <c r="BS134" t="s">
        <v>2203</v>
      </c>
      <c r="BT134" t="str">
        <f>HYPERLINK("https%3A%2F%2Fwww.webofscience.com%2Fwos%2Fwoscc%2Ffull-record%2FWOS:000225428600003","View Full Record in Web of Science")</f>
        <v>View Full Record in Web of Science</v>
      </c>
    </row>
    <row r="135" spans="1:72" x14ac:dyDescent="0.15">
      <c r="A135" t="s">
        <v>122</v>
      </c>
      <c r="B135" t="s">
        <v>2204</v>
      </c>
      <c r="C135" t="s">
        <v>74</v>
      </c>
      <c r="D135" t="s">
        <v>74</v>
      </c>
      <c r="E135" t="s">
        <v>74</v>
      </c>
      <c r="F135" t="s">
        <v>2204</v>
      </c>
      <c r="G135" t="s">
        <v>74</v>
      </c>
      <c r="H135" t="s">
        <v>74</v>
      </c>
      <c r="I135" t="s">
        <v>2205</v>
      </c>
      <c r="J135" t="s">
        <v>2206</v>
      </c>
      <c r="K135" t="s">
        <v>74</v>
      </c>
      <c r="L135" t="s">
        <v>74</v>
      </c>
      <c r="M135" t="s">
        <v>79</v>
      </c>
      <c r="N135" t="s">
        <v>126</v>
      </c>
      <c r="O135" t="s">
        <v>74</v>
      </c>
      <c r="P135" t="s">
        <v>74</v>
      </c>
      <c r="Q135" t="s">
        <v>74</v>
      </c>
      <c r="R135" t="s">
        <v>74</v>
      </c>
      <c r="S135" t="s">
        <v>74</v>
      </c>
      <c r="T135" t="s">
        <v>2207</v>
      </c>
      <c r="U135" t="s">
        <v>2208</v>
      </c>
      <c r="V135" t="s">
        <v>2209</v>
      </c>
      <c r="W135" t="s">
        <v>2210</v>
      </c>
      <c r="X135" t="s">
        <v>2211</v>
      </c>
      <c r="Y135" t="s">
        <v>2212</v>
      </c>
      <c r="Z135" t="s">
        <v>2213</v>
      </c>
      <c r="AA135" t="s">
        <v>2214</v>
      </c>
      <c r="AB135" t="s">
        <v>2215</v>
      </c>
      <c r="AC135" t="s">
        <v>74</v>
      </c>
      <c r="AD135" t="s">
        <v>74</v>
      </c>
      <c r="AE135" t="s">
        <v>74</v>
      </c>
      <c r="AF135" t="s">
        <v>74</v>
      </c>
      <c r="AG135">
        <v>32</v>
      </c>
      <c r="AH135">
        <v>55</v>
      </c>
      <c r="AI135">
        <v>64</v>
      </c>
      <c r="AJ135">
        <v>0</v>
      </c>
      <c r="AK135">
        <v>21</v>
      </c>
      <c r="AL135" t="s">
        <v>196</v>
      </c>
      <c r="AM135" t="s">
        <v>197</v>
      </c>
      <c r="AN135" t="s">
        <v>198</v>
      </c>
      <c r="AO135" t="s">
        <v>2216</v>
      </c>
      <c r="AP135" t="s">
        <v>2217</v>
      </c>
      <c r="AQ135" t="s">
        <v>74</v>
      </c>
      <c r="AR135" t="s">
        <v>2218</v>
      </c>
      <c r="AS135" t="s">
        <v>2219</v>
      </c>
      <c r="AT135" t="s">
        <v>2220</v>
      </c>
      <c r="AU135">
        <v>2004</v>
      </c>
      <c r="AV135">
        <v>50</v>
      </c>
      <c r="AW135">
        <v>3</v>
      </c>
      <c r="AX135" t="s">
        <v>74</v>
      </c>
      <c r="AY135" t="s">
        <v>74</v>
      </c>
      <c r="AZ135" t="s">
        <v>74</v>
      </c>
      <c r="BA135" t="s">
        <v>74</v>
      </c>
      <c r="BB135">
        <v>143</v>
      </c>
      <c r="BC135">
        <v>152</v>
      </c>
      <c r="BD135" t="s">
        <v>74</v>
      </c>
      <c r="BE135" t="s">
        <v>2221</v>
      </c>
      <c r="BF135" t="str">
        <f>HYPERLINK("http://dx.doi.org/10.1016/j.femsec.2004.06.010","http://dx.doi.org/10.1016/j.femsec.2004.06.010")</f>
        <v>http://dx.doi.org/10.1016/j.femsec.2004.06.010</v>
      </c>
      <c r="BG135" t="s">
        <v>74</v>
      </c>
      <c r="BH135" t="s">
        <v>74</v>
      </c>
      <c r="BI135">
        <v>10</v>
      </c>
      <c r="BJ135" t="s">
        <v>1536</v>
      </c>
      <c r="BK135" t="s">
        <v>139</v>
      </c>
      <c r="BL135" t="s">
        <v>1536</v>
      </c>
      <c r="BM135" t="s">
        <v>2222</v>
      </c>
      <c r="BN135">
        <v>19712355</v>
      </c>
      <c r="BO135" t="s">
        <v>273</v>
      </c>
      <c r="BP135" t="s">
        <v>74</v>
      </c>
      <c r="BQ135" t="s">
        <v>74</v>
      </c>
      <c r="BR135" t="s">
        <v>98</v>
      </c>
      <c r="BS135" t="s">
        <v>2223</v>
      </c>
      <c r="BT135" t="str">
        <f>HYPERLINK("https%3A%2F%2Fwww.webofscience.com%2Fwos%2Fwoscc%2Ffull-record%2FWOS:000225366900002","View Full Record in Web of Science")</f>
        <v>View Full Record in Web of Science</v>
      </c>
    </row>
    <row r="136" spans="1:72" x14ac:dyDescent="0.15">
      <c r="A136" t="s">
        <v>122</v>
      </c>
      <c r="B136" t="s">
        <v>2224</v>
      </c>
      <c r="C136" t="s">
        <v>74</v>
      </c>
      <c r="D136" t="s">
        <v>74</v>
      </c>
      <c r="E136" t="s">
        <v>74</v>
      </c>
      <c r="F136" t="s">
        <v>2224</v>
      </c>
      <c r="G136" t="s">
        <v>74</v>
      </c>
      <c r="H136" t="s">
        <v>74</v>
      </c>
      <c r="I136" t="s">
        <v>2225</v>
      </c>
      <c r="J136" t="s">
        <v>2206</v>
      </c>
      <c r="K136" t="s">
        <v>74</v>
      </c>
      <c r="L136" t="s">
        <v>74</v>
      </c>
      <c r="M136" t="s">
        <v>79</v>
      </c>
      <c r="N136" t="s">
        <v>126</v>
      </c>
      <c r="O136" t="s">
        <v>74</v>
      </c>
      <c r="P136" t="s">
        <v>74</v>
      </c>
      <c r="Q136" t="s">
        <v>74</v>
      </c>
      <c r="R136" t="s">
        <v>74</v>
      </c>
      <c r="S136" t="s">
        <v>74</v>
      </c>
      <c r="T136" t="s">
        <v>2226</v>
      </c>
      <c r="U136" t="s">
        <v>2227</v>
      </c>
      <c r="V136" t="s">
        <v>2228</v>
      </c>
      <c r="W136" t="s">
        <v>2229</v>
      </c>
      <c r="X136" t="s">
        <v>2230</v>
      </c>
      <c r="Y136" t="s">
        <v>2231</v>
      </c>
      <c r="Z136" t="s">
        <v>2232</v>
      </c>
      <c r="AA136" t="s">
        <v>2233</v>
      </c>
      <c r="AB136" t="s">
        <v>2234</v>
      </c>
      <c r="AC136" t="s">
        <v>74</v>
      </c>
      <c r="AD136" t="s">
        <v>74</v>
      </c>
      <c r="AE136" t="s">
        <v>74</v>
      </c>
      <c r="AF136" t="s">
        <v>74</v>
      </c>
      <c r="AG136">
        <v>38</v>
      </c>
      <c r="AH136">
        <v>27</v>
      </c>
      <c r="AI136">
        <v>31</v>
      </c>
      <c r="AJ136">
        <v>0</v>
      </c>
      <c r="AK136">
        <v>9</v>
      </c>
      <c r="AL136" t="s">
        <v>196</v>
      </c>
      <c r="AM136" t="s">
        <v>197</v>
      </c>
      <c r="AN136" t="s">
        <v>198</v>
      </c>
      <c r="AO136" t="s">
        <v>2216</v>
      </c>
      <c r="AP136" t="s">
        <v>2217</v>
      </c>
      <c r="AQ136" t="s">
        <v>74</v>
      </c>
      <c r="AR136" t="s">
        <v>2218</v>
      </c>
      <c r="AS136" t="s">
        <v>2219</v>
      </c>
      <c r="AT136" t="s">
        <v>2220</v>
      </c>
      <c r="AU136">
        <v>2004</v>
      </c>
      <c r="AV136">
        <v>50</v>
      </c>
      <c r="AW136">
        <v>3</v>
      </c>
      <c r="AX136" t="s">
        <v>74</v>
      </c>
      <c r="AY136" t="s">
        <v>74</v>
      </c>
      <c r="AZ136" t="s">
        <v>74</v>
      </c>
      <c r="BA136" t="s">
        <v>74</v>
      </c>
      <c r="BB136">
        <v>163</v>
      </c>
      <c r="BC136">
        <v>173</v>
      </c>
      <c r="BD136" t="s">
        <v>74</v>
      </c>
      <c r="BE136" t="s">
        <v>2235</v>
      </c>
      <c r="BF136" t="str">
        <f>HYPERLINK("http://dx.doi.org/10.1016/j.femsec.2004.06.012","http://dx.doi.org/10.1016/j.femsec.2004.06.012")</f>
        <v>http://dx.doi.org/10.1016/j.femsec.2004.06.012</v>
      </c>
      <c r="BG136" t="s">
        <v>74</v>
      </c>
      <c r="BH136" t="s">
        <v>74</v>
      </c>
      <c r="BI136">
        <v>11</v>
      </c>
      <c r="BJ136" t="s">
        <v>1536</v>
      </c>
      <c r="BK136" t="s">
        <v>139</v>
      </c>
      <c r="BL136" t="s">
        <v>1536</v>
      </c>
      <c r="BM136" t="s">
        <v>2222</v>
      </c>
      <c r="BN136">
        <v>19712357</v>
      </c>
      <c r="BO136" t="s">
        <v>2236</v>
      </c>
      <c r="BP136" t="s">
        <v>74</v>
      </c>
      <c r="BQ136" t="s">
        <v>74</v>
      </c>
      <c r="BR136" t="s">
        <v>98</v>
      </c>
      <c r="BS136" t="s">
        <v>2237</v>
      </c>
      <c r="BT136" t="str">
        <f>HYPERLINK("https%3A%2F%2Fwww.webofscience.com%2Fwos%2Fwoscc%2Ffull-record%2FWOS:000225366900004","View Full Record in Web of Science")</f>
        <v>View Full Record in Web of Science</v>
      </c>
    </row>
    <row r="137" spans="1:72" x14ac:dyDescent="0.15">
      <c r="A137" t="s">
        <v>122</v>
      </c>
      <c r="B137" t="s">
        <v>2238</v>
      </c>
      <c r="C137" t="s">
        <v>74</v>
      </c>
      <c r="D137" t="s">
        <v>74</v>
      </c>
      <c r="E137" t="s">
        <v>74</v>
      </c>
      <c r="F137" t="s">
        <v>2238</v>
      </c>
      <c r="G137" t="s">
        <v>74</v>
      </c>
      <c r="H137" t="s">
        <v>74</v>
      </c>
      <c r="I137" t="s">
        <v>2239</v>
      </c>
      <c r="J137" t="s">
        <v>255</v>
      </c>
      <c r="K137" t="s">
        <v>74</v>
      </c>
      <c r="L137" t="s">
        <v>74</v>
      </c>
      <c r="M137" t="s">
        <v>79</v>
      </c>
      <c r="N137" t="s">
        <v>126</v>
      </c>
      <c r="O137" t="s">
        <v>74</v>
      </c>
      <c r="P137" t="s">
        <v>74</v>
      </c>
      <c r="Q137" t="s">
        <v>74</v>
      </c>
      <c r="R137" t="s">
        <v>74</v>
      </c>
      <c r="S137" t="s">
        <v>74</v>
      </c>
      <c r="T137" t="s">
        <v>2240</v>
      </c>
      <c r="U137" t="s">
        <v>2241</v>
      </c>
      <c r="V137" t="s">
        <v>2242</v>
      </c>
      <c r="W137" t="s">
        <v>2243</v>
      </c>
      <c r="X137" t="s">
        <v>2244</v>
      </c>
      <c r="Y137" t="s">
        <v>2245</v>
      </c>
      <c r="Z137" t="s">
        <v>2246</v>
      </c>
      <c r="AA137" t="s">
        <v>2247</v>
      </c>
      <c r="AB137" t="s">
        <v>2248</v>
      </c>
      <c r="AC137" t="s">
        <v>74</v>
      </c>
      <c r="AD137" t="s">
        <v>74</v>
      </c>
      <c r="AE137" t="s">
        <v>74</v>
      </c>
      <c r="AF137" t="s">
        <v>74</v>
      </c>
      <c r="AG137">
        <v>58</v>
      </c>
      <c r="AH137">
        <v>59</v>
      </c>
      <c r="AI137">
        <v>60</v>
      </c>
      <c r="AJ137">
        <v>0</v>
      </c>
      <c r="AK137">
        <v>16</v>
      </c>
      <c r="AL137" t="s">
        <v>239</v>
      </c>
      <c r="AM137" t="s">
        <v>240</v>
      </c>
      <c r="AN137" t="s">
        <v>241</v>
      </c>
      <c r="AO137" t="s">
        <v>74</v>
      </c>
      <c r="AP137" t="s">
        <v>265</v>
      </c>
      <c r="AQ137" t="s">
        <v>74</v>
      </c>
      <c r="AR137" t="s">
        <v>266</v>
      </c>
      <c r="AS137" t="s">
        <v>267</v>
      </c>
      <c r="AT137" t="s">
        <v>2249</v>
      </c>
      <c r="AU137">
        <v>2004</v>
      </c>
      <c r="AV137">
        <v>5</v>
      </c>
      <c r="AW137" t="s">
        <v>74</v>
      </c>
      <c r="AX137" t="s">
        <v>74</v>
      </c>
      <c r="AY137" t="s">
        <v>74</v>
      </c>
      <c r="AZ137" t="s">
        <v>74</v>
      </c>
      <c r="BA137" t="s">
        <v>74</v>
      </c>
      <c r="BB137" t="s">
        <v>74</v>
      </c>
      <c r="BC137" t="s">
        <v>74</v>
      </c>
      <c r="BD137" t="s">
        <v>2250</v>
      </c>
      <c r="BE137" t="s">
        <v>2251</v>
      </c>
      <c r="BF137" t="str">
        <f>HYPERLINK("http://dx.doi.org/10.1029/2004GC000741","http://dx.doi.org/10.1029/2004GC000741")</f>
        <v>http://dx.doi.org/10.1029/2004GC000741</v>
      </c>
      <c r="BG137" t="s">
        <v>74</v>
      </c>
      <c r="BH137" t="s">
        <v>74</v>
      </c>
      <c r="BI137">
        <v>19</v>
      </c>
      <c r="BJ137" t="s">
        <v>271</v>
      </c>
      <c r="BK137" t="s">
        <v>139</v>
      </c>
      <c r="BL137" t="s">
        <v>271</v>
      </c>
      <c r="BM137" t="s">
        <v>2252</v>
      </c>
      <c r="BN137" t="s">
        <v>74</v>
      </c>
      <c r="BO137" t="s">
        <v>207</v>
      </c>
      <c r="BP137" t="s">
        <v>74</v>
      </c>
      <c r="BQ137" t="s">
        <v>74</v>
      </c>
      <c r="BR137" t="s">
        <v>98</v>
      </c>
      <c r="BS137" t="s">
        <v>2253</v>
      </c>
      <c r="BT137" t="str">
        <f>HYPERLINK("https%3A%2F%2Fwww.webofscience.com%2Fwos%2Fwoscc%2Ffull-record%2FWOS:000225399500002","View Full Record in Web of Science")</f>
        <v>View Full Record in Web of Science</v>
      </c>
    </row>
    <row r="138" spans="1:72" x14ac:dyDescent="0.15">
      <c r="A138" t="s">
        <v>122</v>
      </c>
      <c r="B138" t="s">
        <v>2254</v>
      </c>
      <c r="C138" t="s">
        <v>74</v>
      </c>
      <c r="D138" t="s">
        <v>74</v>
      </c>
      <c r="E138" t="s">
        <v>74</v>
      </c>
      <c r="F138" t="s">
        <v>2254</v>
      </c>
      <c r="G138" t="s">
        <v>74</v>
      </c>
      <c r="H138" t="s">
        <v>74</v>
      </c>
      <c r="I138" t="s">
        <v>2255</v>
      </c>
      <c r="J138" t="s">
        <v>643</v>
      </c>
      <c r="K138" t="s">
        <v>74</v>
      </c>
      <c r="L138" t="s">
        <v>74</v>
      </c>
      <c r="M138" t="s">
        <v>79</v>
      </c>
      <c r="N138" t="s">
        <v>126</v>
      </c>
      <c r="O138" t="s">
        <v>74</v>
      </c>
      <c r="P138" t="s">
        <v>74</v>
      </c>
      <c r="Q138" t="s">
        <v>74</v>
      </c>
      <c r="R138" t="s">
        <v>74</v>
      </c>
      <c r="S138" t="s">
        <v>74</v>
      </c>
      <c r="T138" t="s">
        <v>2256</v>
      </c>
      <c r="U138" t="s">
        <v>2257</v>
      </c>
      <c r="V138" t="s">
        <v>2258</v>
      </c>
      <c r="W138" t="s">
        <v>2259</v>
      </c>
      <c r="X138" t="s">
        <v>2260</v>
      </c>
      <c r="Y138" t="s">
        <v>2261</v>
      </c>
      <c r="Z138" t="s">
        <v>2262</v>
      </c>
      <c r="AA138" t="s">
        <v>74</v>
      </c>
      <c r="AB138" t="s">
        <v>74</v>
      </c>
      <c r="AC138" t="s">
        <v>74</v>
      </c>
      <c r="AD138" t="s">
        <v>74</v>
      </c>
      <c r="AE138" t="s">
        <v>74</v>
      </c>
      <c r="AF138" t="s">
        <v>74</v>
      </c>
      <c r="AG138">
        <v>27</v>
      </c>
      <c r="AH138">
        <v>17</v>
      </c>
      <c r="AI138">
        <v>17</v>
      </c>
      <c r="AJ138">
        <v>0</v>
      </c>
      <c r="AK138">
        <v>4</v>
      </c>
      <c r="AL138" t="s">
        <v>239</v>
      </c>
      <c r="AM138" t="s">
        <v>240</v>
      </c>
      <c r="AN138" t="s">
        <v>241</v>
      </c>
      <c r="AO138" t="s">
        <v>653</v>
      </c>
      <c r="AP138" t="s">
        <v>654</v>
      </c>
      <c r="AQ138" t="s">
        <v>74</v>
      </c>
      <c r="AR138" t="s">
        <v>655</v>
      </c>
      <c r="AS138" t="s">
        <v>656</v>
      </c>
      <c r="AT138" t="s">
        <v>2263</v>
      </c>
      <c r="AU138">
        <v>2004</v>
      </c>
      <c r="AV138">
        <v>109</v>
      </c>
      <c r="AW138" t="s">
        <v>2264</v>
      </c>
      <c r="AX138" t="s">
        <v>74</v>
      </c>
      <c r="AY138" t="s">
        <v>74</v>
      </c>
      <c r="AZ138" t="s">
        <v>74</v>
      </c>
      <c r="BA138" t="s">
        <v>74</v>
      </c>
      <c r="BB138" t="s">
        <v>74</v>
      </c>
      <c r="BC138" t="s">
        <v>74</v>
      </c>
      <c r="BD138" t="s">
        <v>2265</v>
      </c>
      <c r="BE138" t="s">
        <v>2266</v>
      </c>
      <c r="BF138" t="str">
        <f>HYPERLINK("http://dx.doi.org/10.1029/2003JC002103","http://dx.doi.org/10.1029/2003JC002103")</f>
        <v>http://dx.doi.org/10.1029/2003JC002103</v>
      </c>
      <c r="BG138" t="s">
        <v>74</v>
      </c>
      <c r="BH138" t="s">
        <v>74</v>
      </c>
      <c r="BI138">
        <v>23</v>
      </c>
      <c r="BJ138" t="s">
        <v>660</v>
      </c>
      <c r="BK138" t="s">
        <v>139</v>
      </c>
      <c r="BL138" t="s">
        <v>660</v>
      </c>
      <c r="BM138" t="s">
        <v>2267</v>
      </c>
      <c r="BN138" t="s">
        <v>74</v>
      </c>
      <c r="BO138" t="s">
        <v>207</v>
      </c>
      <c r="BP138" t="s">
        <v>74</v>
      </c>
      <c r="BQ138" t="s">
        <v>74</v>
      </c>
      <c r="BR138" t="s">
        <v>98</v>
      </c>
      <c r="BS138" t="s">
        <v>2268</v>
      </c>
      <c r="BT138" t="str">
        <f>HYPERLINK("https%3A%2F%2Fwww.webofscience.com%2Fwos%2Fwoscc%2Ffull-record%2FWOS:000225400800001","View Full Record in Web of Science")</f>
        <v>View Full Record in Web of Science</v>
      </c>
    </row>
    <row r="139" spans="1:72" x14ac:dyDescent="0.15">
      <c r="A139" t="s">
        <v>122</v>
      </c>
      <c r="B139" t="s">
        <v>2269</v>
      </c>
      <c r="C139" t="s">
        <v>74</v>
      </c>
      <c r="D139" t="s">
        <v>74</v>
      </c>
      <c r="E139" t="s">
        <v>74</v>
      </c>
      <c r="F139" t="s">
        <v>2269</v>
      </c>
      <c r="G139" t="s">
        <v>74</v>
      </c>
      <c r="H139" t="s">
        <v>74</v>
      </c>
      <c r="I139" t="s">
        <v>2270</v>
      </c>
      <c r="J139" t="s">
        <v>365</v>
      </c>
      <c r="K139" t="s">
        <v>74</v>
      </c>
      <c r="L139" t="s">
        <v>74</v>
      </c>
      <c r="M139" t="s">
        <v>79</v>
      </c>
      <c r="N139" t="s">
        <v>918</v>
      </c>
      <c r="O139" t="s">
        <v>74</v>
      </c>
      <c r="P139" t="s">
        <v>74</v>
      </c>
      <c r="Q139" t="s">
        <v>74</v>
      </c>
      <c r="R139" t="s">
        <v>74</v>
      </c>
      <c r="S139" t="s">
        <v>74</v>
      </c>
      <c r="T139" t="s">
        <v>74</v>
      </c>
      <c r="U139" t="s">
        <v>2271</v>
      </c>
      <c r="V139" t="s">
        <v>74</v>
      </c>
      <c r="W139" t="s">
        <v>2272</v>
      </c>
      <c r="X139" t="s">
        <v>2273</v>
      </c>
      <c r="Y139" t="s">
        <v>2274</v>
      </c>
      <c r="Z139" t="s">
        <v>2275</v>
      </c>
      <c r="AA139" t="s">
        <v>2276</v>
      </c>
      <c r="AB139" t="s">
        <v>2277</v>
      </c>
      <c r="AC139" t="s">
        <v>74</v>
      </c>
      <c r="AD139" t="s">
        <v>74</v>
      </c>
      <c r="AE139" t="s">
        <v>74</v>
      </c>
      <c r="AF139" t="s">
        <v>74</v>
      </c>
      <c r="AG139">
        <v>7</v>
      </c>
      <c r="AH139">
        <v>50</v>
      </c>
      <c r="AI139">
        <v>53</v>
      </c>
      <c r="AJ139">
        <v>0</v>
      </c>
      <c r="AK139">
        <v>11</v>
      </c>
      <c r="AL139" t="s">
        <v>374</v>
      </c>
      <c r="AM139" t="s">
        <v>375</v>
      </c>
      <c r="AN139" t="s">
        <v>376</v>
      </c>
      <c r="AO139" t="s">
        <v>377</v>
      </c>
      <c r="AP139" t="s">
        <v>74</v>
      </c>
      <c r="AQ139" t="s">
        <v>74</v>
      </c>
      <c r="AR139" t="s">
        <v>365</v>
      </c>
      <c r="AS139" t="s">
        <v>379</v>
      </c>
      <c r="AT139" t="s">
        <v>2263</v>
      </c>
      <c r="AU139">
        <v>2004</v>
      </c>
      <c r="AV139">
        <v>432</v>
      </c>
      <c r="AW139">
        <v>7015</v>
      </c>
      <c r="AX139" t="s">
        <v>74</v>
      </c>
      <c r="AY139" t="s">
        <v>74</v>
      </c>
      <c r="AZ139" t="s">
        <v>74</v>
      </c>
      <c r="BA139" t="s">
        <v>74</v>
      </c>
      <c r="BB139">
        <v>290</v>
      </c>
      <c r="BC139">
        <v>291</v>
      </c>
      <c r="BD139" t="s">
        <v>74</v>
      </c>
      <c r="BE139" t="s">
        <v>2278</v>
      </c>
      <c r="BF139" t="str">
        <f>HYPERLINK("http://dx.doi.org/10.1038/432290b","http://dx.doi.org/10.1038/432290b")</f>
        <v>http://dx.doi.org/10.1038/432290b</v>
      </c>
      <c r="BG139" t="s">
        <v>74</v>
      </c>
      <c r="BH139" t="s">
        <v>74</v>
      </c>
      <c r="BI139">
        <v>2</v>
      </c>
      <c r="BJ139" t="s">
        <v>381</v>
      </c>
      <c r="BK139" t="s">
        <v>139</v>
      </c>
      <c r="BL139" t="s">
        <v>382</v>
      </c>
      <c r="BM139" t="s">
        <v>2279</v>
      </c>
      <c r="BN139">
        <v>15549086</v>
      </c>
      <c r="BO139" t="s">
        <v>74</v>
      </c>
      <c r="BP139" t="s">
        <v>74</v>
      </c>
      <c r="BQ139" t="s">
        <v>74</v>
      </c>
      <c r="BR139" t="s">
        <v>98</v>
      </c>
      <c r="BS139" t="s">
        <v>2280</v>
      </c>
      <c r="BT139" t="str">
        <f>HYPERLINK("https%3A%2F%2Fwww.webofscience.com%2Fwos%2Fwoscc%2Ffull-record%2FWOS:000225161400032","View Full Record in Web of Science")</f>
        <v>View Full Record in Web of Science</v>
      </c>
    </row>
    <row r="140" spans="1:72" x14ac:dyDescent="0.15">
      <c r="A140" t="s">
        <v>122</v>
      </c>
      <c r="B140" t="s">
        <v>2281</v>
      </c>
      <c r="C140" t="s">
        <v>74</v>
      </c>
      <c r="D140" t="s">
        <v>74</v>
      </c>
      <c r="E140" t="s">
        <v>74</v>
      </c>
      <c r="F140" t="s">
        <v>2281</v>
      </c>
      <c r="G140" t="s">
        <v>74</v>
      </c>
      <c r="H140" t="s">
        <v>74</v>
      </c>
      <c r="I140" t="s">
        <v>2282</v>
      </c>
      <c r="J140" t="s">
        <v>2283</v>
      </c>
      <c r="K140" t="s">
        <v>74</v>
      </c>
      <c r="L140" t="s">
        <v>74</v>
      </c>
      <c r="M140" t="s">
        <v>79</v>
      </c>
      <c r="N140" t="s">
        <v>1129</v>
      </c>
      <c r="O140" t="s">
        <v>2284</v>
      </c>
      <c r="P140">
        <v>2002</v>
      </c>
      <c r="Q140" t="s">
        <v>2285</v>
      </c>
      <c r="R140" t="s">
        <v>74</v>
      </c>
      <c r="S140" t="s">
        <v>74</v>
      </c>
      <c r="T140" t="s">
        <v>2286</v>
      </c>
      <c r="U140" t="s">
        <v>2287</v>
      </c>
      <c r="V140" t="s">
        <v>2288</v>
      </c>
      <c r="W140" t="s">
        <v>2289</v>
      </c>
      <c r="X140" t="s">
        <v>2290</v>
      </c>
      <c r="Y140" t="s">
        <v>2291</v>
      </c>
      <c r="Z140" t="s">
        <v>2292</v>
      </c>
      <c r="AA140" t="s">
        <v>2293</v>
      </c>
      <c r="AB140" t="s">
        <v>74</v>
      </c>
      <c r="AC140" t="s">
        <v>74</v>
      </c>
      <c r="AD140" t="s">
        <v>74</v>
      </c>
      <c r="AE140" t="s">
        <v>74</v>
      </c>
      <c r="AF140" t="s">
        <v>74</v>
      </c>
      <c r="AG140">
        <v>108</v>
      </c>
      <c r="AH140">
        <v>30</v>
      </c>
      <c r="AI140">
        <v>34</v>
      </c>
      <c r="AJ140">
        <v>2</v>
      </c>
      <c r="AK140">
        <v>15</v>
      </c>
      <c r="AL140" t="s">
        <v>531</v>
      </c>
      <c r="AM140" t="s">
        <v>532</v>
      </c>
      <c r="AN140" t="s">
        <v>533</v>
      </c>
      <c r="AO140" t="s">
        <v>2294</v>
      </c>
      <c r="AP140" t="s">
        <v>2295</v>
      </c>
      <c r="AQ140" t="s">
        <v>74</v>
      </c>
      <c r="AR140" t="s">
        <v>2296</v>
      </c>
      <c r="AS140" t="s">
        <v>2297</v>
      </c>
      <c r="AT140" t="s">
        <v>2263</v>
      </c>
      <c r="AU140">
        <v>2004</v>
      </c>
      <c r="AV140">
        <v>214</v>
      </c>
      <c r="AW140">
        <v>3</v>
      </c>
      <c r="AX140" t="s">
        <v>74</v>
      </c>
      <c r="AY140" t="s">
        <v>74</v>
      </c>
      <c r="AZ140" t="s">
        <v>74</v>
      </c>
      <c r="BA140" t="s">
        <v>74</v>
      </c>
      <c r="BB140">
        <v>243</v>
      </c>
      <c r="BC140">
        <v>263</v>
      </c>
      <c r="BD140" t="s">
        <v>74</v>
      </c>
      <c r="BE140" t="s">
        <v>2298</v>
      </c>
      <c r="BF140" t="str">
        <f>HYPERLINK("http://dx.doi.org/10.1016/j.palaeo.2004.06.018","http://dx.doi.org/10.1016/j.palaeo.2004.06.018")</f>
        <v>http://dx.doi.org/10.1016/j.palaeo.2004.06.018</v>
      </c>
      <c r="BG140" t="s">
        <v>74</v>
      </c>
      <c r="BH140" t="s">
        <v>74</v>
      </c>
      <c r="BI140">
        <v>21</v>
      </c>
      <c r="BJ140" t="s">
        <v>2299</v>
      </c>
      <c r="BK140" t="s">
        <v>1257</v>
      </c>
      <c r="BL140" t="s">
        <v>2300</v>
      </c>
      <c r="BM140" t="s">
        <v>2301</v>
      </c>
      <c r="BN140" t="s">
        <v>74</v>
      </c>
      <c r="BO140" t="s">
        <v>74</v>
      </c>
      <c r="BP140" t="s">
        <v>74</v>
      </c>
      <c r="BQ140" t="s">
        <v>74</v>
      </c>
      <c r="BR140" t="s">
        <v>98</v>
      </c>
      <c r="BS140" t="s">
        <v>2302</v>
      </c>
      <c r="BT140" t="str">
        <f>HYPERLINK("https%3A%2F%2Fwww.webofscience.com%2Fwos%2Fwoscc%2Ffull-record%2FWOS:000225200500006","View Full Record in Web of Science")</f>
        <v>View Full Record in Web of Science</v>
      </c>
    </row>
    <row r="141" spans="1:72" x14ac:dyDescent="0.15">
      <c r="A141" t="s">
        <v>122</v>
      </c>
      <c r="B141" t="s">
        <v>2303</v>
      </c>
      <c r="C141" t="s">
        <v>74</v>
      </c>
      <c r="D141" t="s">
        <v>74</v>
      </c>
      <c r="E141" t="s">
        <v>74</v>
      </c>
      <c r="F141" t="s">
        <v>2303</v>
      </c>
      <c r="G141" t="s">
        <v>74</v>
      </c>
      <c r="H141" t="s">
        <v>74</v>
      </c>
      <c r="I141" t="s">
        <v>2304</v>
      </c>
      <c r="J141" t="s">
        <v>277</v>
      </c>
      <c r="K141" t="s">
        <v>74</v>
      </c>
      <c r="L141" t="s">
        <v>74</v>
      </c>
      <c r="M141" t="s">
        <v>79</v>
      </c>
      <c r="N141" t="s">
        <v>126</v>
      </c>
      <c r="O141" t="s">
        <v>74</v>
      </c>
      <c r="P141" t="s">
        <v>74</v>
      </c>
      <c r="Q141" t="s">
        <v>74</v>
      </c>
      <c r="R141" t="s">
        <v>74</v>
      </c>
      <c r="S141" t="s">
        <v>74</v>
      </c>
      <c r="T141" t="s">
        <v>2305</v>
      </c>
      <c r="U141" t="s">
        <v>2306</v>
      </c>
      <c r="V141" t="s">
        <v>2307</v>
      </c>
      <c r="W141" t="s">
        <v>2308</v>
      </c>
      <c r="X141" t="s">
        <v>2309</v>
      </c>
      <c r="Y141" t="s">
        <v>2310</v>
      </c>
      <c r="Z141" t="s">
        <v>2311</v>
      </c>
      <c r="AA141" t="s">
        <v>2312</v>
      </c>
      <c r="AB141" t="s">
        <v>2313</v>
      </c>
      <c r="AC141" t="s">
        <v>74</v>
      </c>
      <c r="AD141" t="s">
        <v>74</v>
      </c>
      <c r="AE141" t="s">
        <v>74</v>
      </c>
      <c r="AF141" t="s">
        <v>74</v>
      </c>
      <c r="AG141">
        <v>39</v>
      </c>
      <c r="AH141">
        <v>57</v>
      </c>
      <c r="AI141">
        <v>61</v>
      </c>
      <c r="AJ141">
        <v>2</v>
      </c>
      <c r="AK141">
        <v>38</v>
      </c>
      <c r="AL141" t="s">
        <v>239</v>
      </c>
      <c r="AM141" t="s">
        <v>240</v>
      </c>
      <c r="AN141" t="s">
        <v>241</v>
      </c>
      <c r="AO141" t="s">
        <v>284</v>
      </c>
      <c r="AP141" t="s">
        <v>285</v>
      </c>
      <c r="AQ141" t="s">
        <v>74</v>
      </c>
      <c r="AR141" t="s">
        <v>286</v>
      </c>
      <c r="AS141" t="s">
        <v>287</v>
      </c>
      <c r="AT141" t="s">
        <v>2314</v>
      </c>
      <c r="AU141">
        <v>2004</v>
      </c>
      <c r="AV141">
        <v>109</v>
      </c>
      <c r="AW141" t="s">
        <v>2109</v>
      </c>
      <c r="AX141" t="s">
        <v>74</v>
      </c>
      <c r="AY141" t="s">
        <v>74</v>
      </c>
      <c r="AZ141" t="s">
        <v>74</v>
      </c>
      <c r="BA141" t="s">
        <v>74</v>
      </c>
      <c r="BB141" t="s">
        <v>74</v>
      </c>
      <c r="BC141" t="s">
        <v>74</v>
      </c>
      <c r="BD141" t="s">
        <v>2315</v>
      </c>
      <c r="BE141" t="s">
        <v>2316</v>
      </c>
      <c r="BF141" t="str">
        <f>HYPERLINK("http://dx.doi.org/10.1029/2004JD004686","http://dx.doi.org/10.1029/2004JD004686")</f>
        <v>http://dx.doi.org/10.1029/2004JD004686</v>
      </c>
      <c r="BG141" t="s">
        <v>74</v>
      </c>
      <c r="BH141" t="s">
        <v>74</v>
      </c>
      <c r="BI141">
        <v>11</v>
      </c>
      <c r="BJ141" t="s">
        <v>291</v>
      </c>
      <c r="BK141" t="s">
        <v>139</v>
      </c>
      <c r="BL141" t="s">
        <v>291</v>
      </c>
      <c r="BM141" t="s">
        <v>2317</v>
      </c>
      <c r="BN141" t="s">
        <v>74</v>
      </c>
      <c r="BO141" t="s">
        <v>329</v>
      </c>
      <c r="BP141" t="s">
        <v>74</v>
      </c>
      <c r="BQ141" t="s">
        <v>74</v>
      </c>
      <c r="BR141" t="s">
        <v>98</v>
      </c>
      <c r="BS141" t="s">
        <v>2318</v>
      </c>
      <c r="BT141" t="str">
        <f>HYPERLINK("https%3A%2F%2Fwww.webofscience.com%2Fwos%2Fwoscc%2Ffull-record%2FWOS:000225400100002","View Full Record in Web of Science")</f>
        <v>View Full Record in Web of Science</v>
      </c>
    </row>
    <row r="142" spans="1:72" x14ac:dyDescent="0.15">
      <c r="A142" t="s">
        <v>122</v>
      </c>
      <c r="B142" t="s">
        <v>2319</v>
      </c>
      <c r="C142" t="s">
        <v>74</v>
      </c>
      <c r="D142" t="s">
        <v>74</v>
      </c>
      <c r="E142" t="s">
        <v>74</v>
      </c>
      <c r="F142" t="s">
        <v>2319</v>
      </c>
      <c r="G142" t="s">
        <v>74</v>
      </c>
      <c r="H142" t="s">
        <v>74</v>
      </c>
      <c r="I142" t="s">
        <v>2320</v>
      </c>
      <c r="J142" t="s">
        <v>230</v>
      </c>
      <c r="K142" t="s">
        <v>74</v>
      </c>
      <c r="L142" t="s">
        <v>74</v>
      </c>
      <c r="M142" t="s">
        <v>79</v>
      </c>
      <c r="N142" t="s">
        <v>126</v>
      </c>
      <c r="O142" t="s">
        <v>74</v>
      </c>
      <c r="P142" t="s">
        <v>74</v>
      </c>
      <c r="Q142" t="s">
        <v>74</v>
      </c>
      <c r="R142" t="s">
        <v>74</v>
      </c>
      <c r="S142" t="s">
        <v>74</v>
      </c>
      <c r="T142" t="s">
        <v>74</v>
      </c>
      <c r="U142" t="s">
        <v>2321</v>
      </c>
      <c r="V142" t="s">
        <v>2322</v>
      </c>
      <c r="W142" t="s">
        <v>2323</v>
      </c>
      <c r="X142" t="s">
        <v>748</v>
      </c>
      <c r="Y142" t="s">
        <v>502</v>
      </c>
      <c r="Z142" t="s">
        <v>2324</v>
      </c>
      <c r="AA142" t="s">
        <v>2325</v>
      </c>
      <c r="AB142" t="s">
        <v>2326</v>
      </c>
      <c r="AC142" t="s">
        <v>74</v>
      </c>
      <c r="AD142" t="s">
        <v>74</v>
      </c>
      <c r="AE142" t="s">
        <v>74</v>
      </c>
      <c r="AF142" t="s">
        <v>74</v>
      </c>
      <c r="AG142">
        <v>14</v>
      </c>
      <c r="AH142">
        <v>5</v>
      </c>
      <c r="AI142">
        <v>5</v>
      </c>
      <c r="AJ142">
        <v>0</v>
      </c>
      <c r="AK142">
        <v>1</v>
      </c>
      <c r="AL142" t="s">
        <v>239</v>
      </c>
      <c r="AM142" t="s">
        <v>240</v>
      </c>
      <c r="AN142" t="s">
        <v>241</v>
      </c>
      <c r="AO142" t="s">
        <v>242</v>
      </c>
      <c r="AP142" t="s">
        <v>341</v>
      </c>
      <c r="AQ142" t="s">
        <v>74</v>
      </c>
      <c r="AR142" t="s">
        <v>243</v>
      </c>
      <c r="AS142" t="s">
        <v>244</v>
      </c>
      <c r="AT142" t="s">
        <v>2327</v>
      </c>
      <c r="AU142">
        <v>2004</v>
      </c>
      <c r="AV142">
        <v>31</v>
      </c>
      <c r="AW142">
        <v>22</v>
      </c>
      <c r="AX142" t="s">
        <v>74</v>
      </c>
      <c r="AY142" t="s">
        <v>74</v>
      </c>
      <c r="AZ142" t="s">
        <v>74</v>
      </c>
      <c r="BA142" t="s">
        <v>74</v>
      </c>
      <c r="BB142" t="s">
        <v>74</v>
      </c>
      <c r="BC142" t="s">
        <v>74</v>
      </c>
      <c r="BD142" t="s">
        <v>2328</v>
      </c>
      <c r="BE142" t="s">
        <v>2329</v>
      </c>
      <c r="BF142" t="str">
        <f>HYPERLINK("http://dx.doi.org/10.1029/2004GL020923","http://dx.doi.org/10.1029/2004GL020923")</f>
        <v>http://dx.doi.org/10.1029/2004GL020923</v>
      </c>
      <c r="BG142" t="s">
        <v>74</v>
      </c>
      <c r="BH142" t="s">
        <v>74</v>
      </c>
      <c r="BI142">
        <v>4</v>
      </c>
      <c r="BJ142" t="s">
        <v>248</v>
      </c>
      <c r="BK142" t="s">
        <v>139</v>
      </c>
      <c r="BL142" t="s">
        <v>249</v>
      </c>
      <c r="BM142" t="s">
        <v>2330</v>
      </c>
      <c r="BN142" t="s">
        <v>74</v>
      </c>
      <c r="BO142" t="s">
        <v>273</v>
      </c>
      <c r="BP142" t="s">
        <v>74</v>
      </c>
      <c r="BQ142" t="s">
        <v>74</v>
      </c>
      <c r="BR142" t="s">
        <v>98</v>
      </c>
      <c r="BS142" t="s">
        <v>2331</v>
      </c>
      <c r="BT142" t="str">
        <f>HYPERLINK("https%3A%2F%2Fwww.webofscience.com%2Fwos%2Fwoscc%2Ffull-record%2FWOS:000225399600001","View Full Record in Web of Science")</f>
        <v>View Full Record in Web of Science</v>
      </c>
    </row>
    <row r="143" spans="1:72" x14ac:dyDescent="0.15">
      <c r="A143" t="s">
        <v>122</v>
      </c>
      <c r="B143" t="s">
        <v>2332</v>
      </c>
      <c r="C143" t="s">
        <v>74</v>
      </c>
      <c r="D143" t="s">
        <v>74</v>
      </c>
      <c r="E143" t="s">
        <v>74</v>
      </c>
      <c r="F143" t="s">
        <v>2332</v>
      </c>
      <c r="G143" t="s">
        <v>74</v>
      </c>
      <c r="H143" t="s">
        <v>74</v>
      </c>
      <c r="I143" t="s">
        <v>2333</v>
      </c>
      <c r="J143" t="s">
        <v>522</v>
      </c>
      <c r="K143" t="s">
        <v>74</v>
      </c>
      <c r="L143" t="s">
        <v>74</v>
      </c>
      <c r="M143" t="s">
        <v>79</v>
      </c>
      <c r="N143" t="s">
        <v>126</v>
      </c>
      <c r="O143" t="s">
        <v>74</v>
      </c>
      <c r="P143" t="s">
        <v>74</v>
      </c>
      <c r="Q143" t="s">
        <v>74</v>
      </c>
      <c r="R143" t="s">
        <v>74</v>
      </c>
      <c r="S143" t="s">
        <v>74</v>
      </c>
      <c r="T143" t="s">
        <v>2334</v>
      </c>
      <c r="U143" t="s">
        <v>2335</v>
      </c>
      <c r="V143" t="s">
        <v>2336</v>
      </c>
      <c r="W143" t="s">
        <v>2337</v>
      </c>
      <c r="X143" t="s">
        <v>2338</v>
      </c>
      <c r="Y143" t="s">
        <v>2339</v>
      </c>
      <c r="Z143" t="s">
        <v>2340</v>
      </c>
      <c r="AA143" t="s">
        <v>74</v>
      </c>
      <c r="AB143" t="s">
        <v>467</v>
      </c>
      <c r="AC143" t="s">
        <v>74</v>
      </c>
      <c r="AD143" t="s">
        <v>74</v>
      </c>
      <c r="AE143" t="s">
        <v>74</v>
      </c>
      <c r="AF143" t="s">
        <v>74</v>
      </c>
      <c r="AG143">
        <v>21</v>
      </c>
      <c r="AH143">
        <v>33</v>
      </c>
      <c r="AI143">
        <v>41</v>
      </c>
      <c r="AJ143">
        <v>1</v>
      </c>
      <c r="AK143">
        <v>10</v>
      </c>
      <c r="AL143" t="s">
        <v>531</v>
      </c>
      <c r="AM143" t="s">
        <v>532</v>
      </c>
      <c r="AN143" t="s">
        <v>533</v>
      </c>
      <c r="AO143" t="s">
        <v>534</v>
      </c>
      <c r="AP143" t="s">
        <v>535</v>
      </c>
      <c r="AQ143" t="s">
        <v>74</v>
      </c>
      <c r="AR143" t="s">
        <v>536</v>
      </c>
      <c r="AS143" t="s">
        <v>537</v>
      </c>
      <c r="AT143" t="s">
        <v>2341</v>
      </c>
      <c r="AU143">
        <v>2004</v>
      </c>
      <c r="AV143">
        <v>227</v>
      </c>
      <c r="AW143" t="s">
        <v>538</v>
      </c>
      <c r="AX143" t="s">
        <v>74</v>
      </c>
      <c r="AY143" t="s">
        <v>74</v>
      </c>
      <c r="AZ143" t="s">
        <v>74</v>
      </c>
      <c r="BA143" t="s">
        <v>74</v>
      </c>
      <c r="BB143">
        <v>249</v>
      </c>
      <c r="BC143">
        <v>261</v>
      </c>
      <c r="BD143" t="s">
        <v>74</v>
      </c>
      <c r="BE143" t="s">
        <v>2342</v>
      </c>
      <c r="BF143" t="str">
        <f>HYPERLINK("http://dx.doi.org/10.1016/j.epsl.2004.09.021","http://dx.doi.org/10.1016/j.epsl.2004.09.021")</f>
        <v>http://dx.doi.org/10.1016/j.epsl.2004.09.021</v>
      </c>
      <c r="BG143" t="s">
        <v>74</v>
      </c>
      <c r="BH143" t="s">
        <v>74</v>
      </c>
      <c r="BI143">
        <v>13</v>
      </c>
      <c r="BJ143" t="s">
        <v>271</v>
      </c>
      <c r="BK143" t="s">
        <v>139</v>
      </c>
      <c r="BL143" t="s">
        <v>271</v>
      </c>
      <c r="BM143" t="s">
        <v>2343</v>
      </c>
      <c r="BN143" t="s">
        <v>74</v>
      </c>
      <c r="BO143" t="s">
        <v>74</v>
      </c>
      <c r="BP143" t="s">
        <v>74</v>
      </c>
      <c r="BQ143" t="s">
        <v>74</v>
      </c>
      <c r="BR143" t="s">
        <v>98</v>
      </c>
      <c r="BS143" t="s">
        <v>2344</v>
      </c>
      <c r="BT143" t="str">
        <f>HYPERLINK("https%3A%2F%2Fwww.webofscience.com%2Fwos%2Fwoscc%2Ffull-record%2FWOS:000225124900007","View Full Record in Web of Science")</f>
        <v>View Full Record in Web of Science</v>
      </c>
    </row>
    <row r="144" spans="1:72" x14ac:dyDescent="0.15">
      <c r="A144" t="s">
        <v>122</v>
      </c>
      <c r="B144" t="s">
        <v>2345</v>
      </c>
      <c r="C144" t="s">
        <v>74</v>
      </c>
      <c r="D144" t="s">
        <v>74</v>
      </c>
      <c r="E144" t="s">
        <v>74</v>
      </c>
      <c r="F144" t="s">
        <v>2345</v>
      </c>
      <c r="G144" t="s">
        <v>74</v>
      </c>
      <c r="H144" t="s">
        <v>74</v>
      </c>
      <c r="I144" t="s">
        <v>2346</v>
      </c>
      <c r="J144" t="s">
        <v>522</v>
      </c>
      <c r="K144" t="s">
        <v>74</v>
      </c>
      <c r="L144" t="s">
        <v>74</v>
      </c>
      <c r="M144" t="s">
        <v>79</v>
      </c>
      <c r="N144" t="s">
        <v>126</v>
      </c>
      <c r="O144" t="s">
        <v>74</v>
      </c>
      <c r="P144" t="s">
        <v>74</v>
      </c>
      <c r="Q144" t="s">
        <v>74</v>
      </c>
      <c r="R144" t="s">
        <v>74</v>
      </c>
      <c r="S144" t="s">
        <v>74</v>
      </c>
      <c r="T144" t="s">
        <v>2347</v>
      </c>
      <c r="U144" t="s">
        <v>2348</v>
      </c>
      <c r="V144" t="s">
        <v>2349</v>
      </c>
      <c r="W144" t="s">
        <v>2350</v>
      </c>
      <c r="X144" t="s">
        <v>2351</v>
      </c>
      <c r="Y144" t="s">
        <v>2352</v>
      </c>
      <c r="Z144" t="s">
        <v>2353</v>
      </c>
      <c r="AA144" t="s">
        <v>2354</v>
      </c>
      <c r="AB144" t="s">
        <v>2355</v>
      </c>
      <c r="AC144" t="s">
        <v>74</v>
      </c>
      <c r="AD144" t="s">
        <v>74</v>
      </c>
      <c r="AE144" t="s">
        <v>74</v>
      </c>
      <c r="AF144" t="s">
        <v>74</v>
      </c>
      <c r="AG144">
        <v>25</v>
      </c>
      <c r="AH144">
        <v>123</v>
      </c>
      <c r="AI144">
        <v>132</v>
      </c>
      <c r="AJ144">
        <v>0</v>
      </c>
      <c r="AK144">
        <v>30</v>
      </c>
      <c r="AL144" t="s">
        <v>562</v>
      </c>
      <c r="AM144" t="s">
        <v>532</v>
      </c>
      <c r="AN144" t="s">
        <v>563</v>
      </c>
      <c r="AO144" t="s">
        <v>534</v>
      </c>
      <c r="AP144" t="s">
        <v>74</v>
      </c>
      <c r="AQ144" t="s">
        <v>74</v>
      </c>
      <c r="AR144" t="s">
        <v>536</v>
      </c>
      <c r="AS144" t="s">
        <v>537</v>
      </c>
      <c r="AT144" t="s">
        <v>2341</v>
      </c>
      <c r="AU144">
        <v>2004</v>
      </c>
      <c r="AV144">
        <v>227</v>
      </c>
      <c r="AW144" t="s">
        <v>538</v>
      </c>
      <c r="AX144" t="s">
        <v>74</v>
      </c>
      <c r="AY144" t="s">
        <v>74</v>
      </c>
      <c r="AZ144" t="s">
        <v>74</v>
      </c>
      <c r="BA144" t="s">
        <v>74</v>
      </c>
      <c r="BB144">
        <v>263</v>
      </c>
      <c r="BC144">
        <v>271</v>
      </c>
      <c r="BD144" t="s">
        <v>74</v>
      </c>
      <c r="BE144" t="s">
        <v>2356</v>
      </c>
      <c r="BF144" t="str">
        <f>HYPERLINK("http://dx.doi.org/10.1016/j.epsl.2004.08.023","http://dx.doi.org/10.1016/j.epsl.2004.08.023")</f>
        <v>http://dx.doi.org/10.1016/j.epsl.2004.08.023</v>
      </c>
      <c r="BG144" t="s">
        <v>74</v>
      </c>
      <c r="BH144" t="s">
        <v>74</v>
      </c>
      <c r="BI144">
        <v>9</v>
      </c>
      <c r="BJ144" t="s">
        <v>271</v>
      </c>
      <c r="BK144" t="s">
        <v>139</v>
      </c>
      <c r="BL144" t="s">
        <v>271</v>
      </c>
      <c r="BM144" t="s">
        <v>2343</v>
      </c>
      <c r="BN144" t="s">
        <v>74</v>
      </c>
      <c r="BO144" t="s">
        <v>74</v>
      </c>
      <c r="BP144" t="s">
        <v>74</v>
      </c>
      <c r="BQ144" t="s">
        <v>74</v>
      </c>
      <c r="BR144" t="s">
        <v>98</v>
      </c>
      <c r="BS144" t="s">
        <v>2357</v>
      </c>
      <c r="BT144" t="str">
        <f>HYPERLINK("https%3A%2F%2Fwww.webofscience.com%2Fwos%2Fwoscc%2Ffull-record%2FWOS:000225124900008","View Full Record in Web of Science")</f>
        <v>View Full Record in Web of Science</v>
      </c>
    </row>
    <row r="145" spans="1:72" x14ac:dyDescent="0.15">
      <c r="A145" t="s">
        <v>122</v>
      </c>
      <c r="B145" t="s">
        <v>2358</v>
      </c>
      <c r="C145" t="s">
        <v>74</v>
      </c>
      <c r="D145" t="s">
        <v>74</v>
      </c>
      <c r="E145" t="s">
        <v>74</v>
      </c>
      <c r="F145" t="s">
        <v>2358</v>
      </c>
      <c r="G145" t="s">
        <v>74</v>
      </c>
      <c r="H145" t="s">
        <v>74</v>
      </c>
      <c r="I145" t="s">
        <v>2359</v>
      </c>
      <c r="J145" t="s">
        <v>2360</v>
      </c>
      <c r="K145" t="s">
        <v>74</v>
      </c>
      <c r="L145" t="s">
        <v>74</v>
      </c>
      <c r="M145" t="s">
        <v>79</v>
      </c>
      <c r="N145" t="s">
        <v>126</v>
      </c>
      <c r="O145" t="s">
        <v>74</v>
      </c>
      <c r="P145" t="s">
        <v>74</v>
      </c>
      <c r="Q145" t="s">
        <v>74</v>
      </c>
      <c r="R145" t="s">
        <v>74</v>
      </c>
      <c r="S145" t="s">
        <v>74</v>
      </c>
      <c r="T145" t="s">
        <v>2361</v>
      </c>
      <c r="U145" t="s">
        <v>2362</v>
      </c>
      <c r="V145" t="s">
        <v>2363</v>
      </c>
      <c r="W145" t="s">
        <v>2364</v>
      </c>
      <c r="X145" t="s">
        <v>2365</v>
      </c>
      <c r="Y145" t="s">
        <v>2366</v>
      </c>
      <c r="Z145" t="s">
        <v>2367</v>
      </c>
      <c r="AA145" t="s">
        <v>2368</v>
      </c>
      <c r="AB145" t="s">
        <v>2369</v>
      </c>
      <c r="AC145" t="s">
        <v>74</v>
      </c>
      <c r="AD145" t="s">
        <v>74</v>
      </c>
      <c r="AE145" t="s">
        <v>74</v>
      </c>
      <c r="AF145" t="s">
        <v>74</v>
      </c>
      <c r="AG145">
        <v>44</v>
      </c>
      <c r="AH145">
        <v>55</v>
      </c>
      <c r="AI145">
        <v>61</v>
      </c>
      <c r="AJ145">
        <v>1</v>
      </c>
      <c r="AK145">
        <v>26</v>
      </c>
      <c r="AL145" t="s">
        <v>531</v>
      </c>
      <c r="AM145" t="s">
        <v>532</v>
      </c>
      <c r="AN145" t="s">
        <v>533</v>
      </c>
      <c r="AO145" t="s">
        <v>2370</v>
      </c>
      <c r="AP145" t="s">
        <v>2371</v>
      </c>
      <c r="AQ145" t="s">
        <v>74</v>
      </c>
      <c r="AR145" t="s">
        <v>2372</v>
      </c>
      <c r="AS145" t="s">
        <v>2373</v>
      </c>
      <c r="AT145" t="s">
        <v>2341</v>
      </c>
      <c r="AU145">
        <v>2004</v>
      </c>
      <c r="AV145">
        <v>91</v>
      </c>
      <c r="AW145" t="s">
        <v>595</v>
      </c>
      <c r="AX145" t="s">
        <v>74</v>
      </c>
      <c r="AY145" t="s">
        <v>74</v>
      </c>
      <c r="AZ145" t="s">
        <v>74</v>
      </c>
      <c r="BA145" t="s">
        <v>74</v>
      </c>
      <c r="BB145">
        <v>65</v>
      </c>
      <c r="BC145">
        <v>75</v>
      </c>
      <c r="BD145" t="s">
        <v>74</v>
      </c>
      <c r="BE145" t="s">
        <v>2374</v>
      </c>
      <c r="BF145" t="str">
        <f>HYPERLINK("http://dx.doi.org/10.1016/j.marchem.2004.04.005","http://dx.doi.org/10.1016/j.marchem.2004.04.005")</f>
        <v>http://dx.doi.org/10.1016/j.marchem.2004.04.005</v>
      </c>
      <c r="BG145" t="s">
        <v>74</v>
      </c>
      <c r="BH145" t="s">
        <v>74</v>
      </c>
      <c r="BI145">
        <v>11</v>
      </c>
      <c r="BJ145" t="s">
        <v>2375</v>
      </c>
      <c r="BK145" t="s">
        <v>139</v>
      </c>
      <c r="BL145" t="s">
        <v>2376</v>
      </c>
      <c r="BM145" t="s">
        <v>2377</v>
      </c>
      <c r="BN145" t="s">
        <v>74</v>
      </c>
      <c r="BO145" t="s">
        <v>74</v>
      </c>
      <c r="BP145" t="s">
        <v>74</v>
      </c>
      <c r="BQ145" t="s">
        <v>74</v>
      </c>
      <c r="BR145" t="s">
        <v>98</v>
      </c>
      <c r="BS145" t="s">
        <v>2378</v>
      </c>
      <c r="BT145" t="str">
        <f>HYPERLINK("https%3A%2F%2Fwww.webofscience.com%2Fwos%2Fwoscc%2Ffull-record%2FWOS:000225482800006","View Full Record in Web of Science")</f>
        <v>View Full Record in Web of Science</v>
      </c>
    </row>
    <row r="146" spans="1:72" x14ac:dyDescent="0.15">
      <c r="A146" t="s">
        <v>122</v>
      </c>
      <c r="B146" t="s">
        <v>2379</v>
      </c>
      <c r="C146" t="s">
        <v>74</v>
      </c>
      <c r="D146" t="s">
        <v>74</v>
      </c>
      <c r="E146" t="s">
        <v>74</v>
      </c>
      <c r="F146" t="s">
        <v>2379</v>
      </c>
      <c r="G146" t="s">
        <v>74</v>
      </c>
      <c r="H146" t="s">
        <v>74</v>
      </c>
      <c r="I146" t="s">
        <v>2380</v>
      </c>
      <c r="J146" t="s">
        <v>311</v>
      </c>
      <c r="K146" t="s">
        <v>74</v>
      </c>
      <c r="L146" t="s">
        <v>74</v>
      </c>
      <c r="M146" t="s">
        <v>79</v>
      </c>
      <c r="N146" t="s">
        <v>126</v>
      </c>
      <c r="O146" t="s">
        <v>74</v>
      </c>
      <c r="P146" t="s">
        <v>74</v>
      </c>
      <c r="Q146" t="s">
        <v>74</v>
      </c>
      <c r="R146" t="s">
        <v>74</v>
      </c>
      <c r="S146" t="s">
        <v>74</v>
      </c>
      <c r="T146" t="s">
        <v>2381</v>
      </c>
      <c r="U146" t="s">
        <v>2382</v>
      </c>
      <c r="V146" t="s">
        <v>2383</v>
      </c>
      <c r="W146" t="s">
        <v>2384</v>
      </c>
      <c r="X146" t="s">
        <v>2385</v>
      </c>
      <c r="Y146" t="s">
        <v>2386</v>
      </c>
      <c r="Z146" t="s">
        <v>2387</v>
      </c>
      <c r="AA146" t="s">
        <v>2388</v>
      </c>
      <c r="AB146" t="s">
        <v>2389</v>
      </c>
      <c r="AC146" t="s">
        <v>74</v>
      </c>
      <c r="AD146" t="s">
        <v>74</v>
      </c>
      <c r="AE146" t="s">
        <v>74</v>
      </c>
      <c r="AF146" t="s">
        <v>74</v>
      </c>
      <c r="AG146">
        <v>51</v>
      </c>
      <c r="AH146">
        <v>188</v>
      </c>
      <c r="AI146">
        <v>207</v>
      </c>
      <c r="AJ146">
        <v>2</v>
      </c>
      <c r="AK146">
        <v>60</v>
      </c>
      <c r="AL146" t="s">
        <v>239</v>
      </c>
      <c r="AM146" t="s">
        <v>240</v>
      </c>
      <c r="AN146" t="s">
        <v>241</v>
      </c>
      <c r="AO146" t="s">
        <v>321</v>
      </c>
      <c r="AP146" t="s">
        <v>439</v>
      </c>
      <c r="AQ146" t="s">
        <v>74</v>
      </c>
      <c r="AR146" t="s">
        <v>311</v>
      </c>
      <c r="AS146" t="s">
        <v>322</v>
      </c>
      <c r="AT146" t="s">
        <v>2390</v>
      </c>
      <c r="AU146">
        <v>2004</v>
      </c>
      <c r="AV146">
        <v>19</v>
      </c>
      <c r="AW146">
        <v>4</v>
      </c>
      <c r="AX146" t="s">
        <v>74</v>
      </c>
      <c r="AY146" t="s">
        <v>74</v>
      </c>
      <c r="AZ146" t="s">
        <v>74</v>
      </c>
      <c r="BA146" t="s">
        <v>74</v>
      </c>
      <c r="BB146" t="s">
        <v>74</v>
      </c>
      <c r="BC146" t="s">
        <v>74</v>
      </c>
      <c r="BD146" t="s">
        <v>2391</v>
      </c>
      <c r="BE146" t="s">
        <v>2392</v>
      </c>
      <c r="BF146" t="str">
        <f>HYPERLINK("http://dx.doi.org/10.1029/2004PA001039","http://dx.doi.org/10.1029/2004PA001039")</f>
        <v>http://dx.doi.org/10.1029/2004PA001039</v>
      </c>
      <c r="BG146" t="s">
        <v>74</v>
      </c>
      <c r="BH146" t="s">
        <v>74</v>
      </c>
      <c r="BI146">
        <v>11</v>
      </c>
      <c r="BJ146" t="s">
        <v>326</v>
      </c>
      <c r="BK146" t="s">
        <v>139</v>
      </c>
      <c r="BL146" t="s">
        <v>327</v>
      </c>
      <c r="BM146" t="s">
        <v>2393</v>
      </c>
      <c r="BN146" t="s">
        <v>74</v>
      </c>
      <c r="BO146" t="s">
        <v>251</v>
      </c>
      <c r="BP146" t="s">
        <v>74</v>
      </c>
      <c r="BQ146" t="s">
        <v>74</v>
      </c>
      <c r="BR146" t="s">
        <v>98</v>
      </c>
      <c r="BS146" t="s">
        <v>2394</v>
      </c>
      <c r="BT146" t="str">
        <f>HYPERLINK("https%3A%2F%2Fwww.webofscience.com%2Fwos%2Fwoscc%2Ffull-record%2FWOS:000225191600001","View Full Record in Web of Science")</f>
        <v>View Full Record in Web of Science</v>
      </c>
    </row>
    <row r="147" spans="1:72" x14ac:dyDescent="0.15">
      <c r="A147" t="s">
        <v>122</v>
      </c>
      <c r="B147" t="s">
        <v>2395</v>
      </c>
      <c r="C147" t="s">
        <v>74</v>
      </c>
      <c r="D147" t="s">
        <v>74</v>
      </c>
      <c r="E147" t="s">
        <v>74</v>
      </c>
      <c r="F147" t="s">
        <v>2395</v>
      </c>
      <c r="G147" t="s">
        <v>74</v>
      </c>
      <c r="H147" t="s">
        <v>74</v>
      </c>
      <c r="I147" t="s">
        <v>2396</v>
      </c>
      <c r="J147" t="s">
        <v>277</v>
      </c>
      <c r="K147" t="s">
        <v>74</v>
      </c>
      <c r="L147" t="s">
        <v>74</v>
      </c>
      <c r="M147" t="s">
        <v>79</v>
      </c>
      <c r="N147" t="s">
        <v>126</v>
      </c>
      <c r="O147" t="s">
        <v>74</v>
      </c>
      <c r="P147" t="s">
        <v>74</v>
      </c>
      <c r="Q147" t="s">
        <v>74</v>
      </c>
      <c r="R147" t="s">
        <v>74</v>
      </c>
      <c r="S147" t="s">
        <v>74</v>
      </c>
      <c r="T147" t="s">
        <v>2397</v>
      </c>
      <c r="U147" t="s">
        <v>2398</v>
      </c>
      <c r="V147" t="s">
        <v>2399</v>
      </c>
      <c r="W147" t="s">
        <v>2400</v>
      </c>
      <c r="X147" t="s">
        <v>74</v>
      </c>
      <c r="Y147" t="s">
        <v>2401</v>
      </c>
      <c r="Z147" t="s">
        <v>2402</v>
      </c>
      <c r="AA147" t="s">
        <v>2403</v>
      </c>
      <c r="AB147" t="s">
        <v>2404</v>
      </c>
      <c r="AC147" t="s">
        <v>74</v>
      </c>
      <c r="AD147" t="s">
        <v>74</v>
      </c>
      <c r="AE147" t="s">
        <v>74</v>
      </c>
      <c r="AF147" t="s">
        <v>74</v>
      </c>
      <c r="AG147">
        <v>51</v>
      </c>
      <c r="AH147">
        <v>77</v>
      </c>
      <c r="AI147">
        <v>77</v>
      </c>
      <c r="AJ147">
        <v>0</v>
      </c>
      <c r="AK147">
        <v>5</v>
      </c>
      <c r="AL147" t="s">
        <v>239</v>
      </c>
      <c r="AM147" t="s">
        <v>240</v>
      </c>
      <c r="AN147" t="s">
        <v>241</v>
      </c>
      <c r="AO147" t="s">
        <v>284</v>
      </c>
      <c r="AP147" t="s">
        <v>285</v>
      </c>
      <c r="AQ147" t="s">
        <v>74</v>
      </c>
      <c r="AR147" t="s">
        <v>286</v>
      </c>
      <c r="AS147" t="s">
        <v>287</v>
      </c>
      <c r="AT147" t="s">
        <v>2405</v>
      </c>
      <c r="AU147">
        <v>2004</v>
      </c>
      <c r="AV147">
        <v>109</v>
      </c>
      <c r="AW147" t="s">
        <v>2406</v>
      </c>
      <c r="AX147" t="s">
        <v>74</v>
      </c>
      <c r="AY147" t="s">
        <v>74</v>
      </c>
      <c r="AZ147" t="s">
        <v>74</v>
      </c>
      <c r="BA147" t="s">
        <v>74</v>
      </c>
      <c r="BB147" t="s">
        <v>74</v>
      </c>
      <c r="BC147" t="s">
        <v>74</v>
      </c>
      <c r="BD147" t="s">
        <v>2407</v>
      </c>
      <c r="BE147" t="s">
        <v>2408</v>
      </c>
      <c r="BF147" t="str">
        <f>HYPERLINK("http://dx.doi.org/10.1029/2004JD004937","http://dx.doi.org/10.1029/2004JD004937")</f>
        <v>http://dx.doi.org/10.1029/2004JD004937</v>
      </c>
      <c r="BG147" t="s">
        <v>74</v>
      </c>
      <c r="BH147" t="s">
        <v>74</v>
      </c>
      <c r="BI147">
        <v>19</v>
      </c>
      <c r="BJ147" t="s">
        <v>291</v>
      </c>
      <c r="BK147" t="s">
        <v>139</v>
      </c>
      <c r="BL147" t="s">
        <v>291</v>
      </c>
      <c r="BM147" t="s">
        <v>2409</v>
      </c>
      <c r="BN147" t="s">
        <v>74</v>
      </c>
      <c r="BO147" t="s">
        <v>74</v>
      </c>
      <c r="BP147" t="s">
        <v>74</v>
      </c>
      <c r="BQ147" t="s">
        <v>74</v>
      </c>
      <c r="BR147" t="s">
        <v>98</v>
      </c>
      <c r="BS147" t="s">
        <v>2410</v>
      </c>
      <c r="BT147" t="str">
        <f>HYPERLINK("https%3A%2F%2Fwww.webofscience.com%2Fwos%2Fwoscc%2Ffull-record%2FWOS:000225190500009","View Full Record in Web of Science")</f>
        <v>View Full Record in Web of Science</v>
      </c>
    </row>
    <row r="148" spans="1:72" x14ac:dyDescent="0.15">
      <c r="A148" t="s">
        <v>122</v>
      </c>
      <c r="B148" t="s">
        <v>2411</v>
      </c>
      <c r="C148" t="s">
        <v>74</v>
      </c>
      <c r="D148" t="s">
        <v>74</v>
      </c>
      <c r="E148" t="s">
        <v>74</v>
      </c>
      <c r="F148" t="s">
        <v>2411</v>
      </c>
      <c r="G148" t="s">
        <v>74</v>
      </c>
      <c r="H148" t="s">
        <v>74</v>
      </c>
      <c r="I148" t="s">
        <v>2412</v>
      </c>
      <c r="J148" t="s">
        <v>311</v>
      </c>
      <c r="K148" t="s">
        <v>74</v>
      </c>
      <c r="L148" t="s">
        <v>74</v>
      </c>
      <c r="M148" t="s">
        <v>79</v>
      </c>
      <c r="N148" t="s">
        <v>581</v>
      </c>
      <c r="O148" t="s">
        <v>74</v>
      </c>
      <c r="P148" t="s">
        <v>74</v>
      </c>
      <c r="Q148" t="s">
        <v>74</v>
      </c>
      <c r="R148" t="s">
        <v>74</v>
      </c>
      <c r="S148" t="s">
        <v>74</v>
      </c>
      <c r="T148" t="s">
        <v>2413</v>
      </c>
      <c r="U148" t="s">
        <v>2414</v>
      </c>
      <c r="V148" t="s">
        <v>2415</v>
      </c>
      <c r="W148" t="s">
        <v>2416</v>
      </c>
      <c r="X148" t="s">
        <v>2417</v>
      </c>
      <c r="Y148" t="s">
        <v>2135</v>
      </c>
      <c r="Z148" t="s">
        <v>2418</v>
      </c>
      <c r="AA148" t="s">
        <v>2419</v>
      </c>
      <c r="AB148" t="s">
        <v>2420</v>
      </c>
      <c r="AC148" t="s">
        <v>74</v>
      </c>
      <c r="AD148" t="s">
        <v>74</v>
      </c>
      <c r="AE148" t="s">
        <v>74</v>
      </c>
      <c r="AF148" t="s">
        <v>74</v>
      </c>
      <c r="AG148">
        <v>111</v>
      </c>
      <c r="AH148">
        <v>81</v>
      </c>
      <c r="AI148">
        <v>87</v>
      </c>
      <c r="AJ148">
        <v>2</v>
      </c>
      <c r="AK148">
        <v>31</v>
      </c>
      <c r="AL148" t="s">
        <v>239</v>
      </c>
      <c r="AM148" t="s">
        <v>240</v>
      </c>
      <c r="AN148" t="s">
        <v>241</v>
      </c>
      <c r="AO148" t="s">
        <v>321</v>
      </c>
      <c r="AP148" t="s">
        <v>439</v>
      </c>
      <c r="AQ148" t="s">
        <v>74</v>
      </c>
      <c r="AR148" t="s">
        <v>311</v>
      </c>
      <c r="AS148" t="s">
        <v>322</v>
      </c>
      <c r="AT148" t="s">
        <v>2421</v>
      </c>
      <c r="AU148">
        <v>2004</v>
      </c>
      <c r="AV148">
        <v>19</v>
      </c>
      <c r="AW148">
        <v>4</v>
      </c>
      <c r="AX148" t="s">
        <v>74</v>
      </c>
      <c r="AY148" t="s">
        <v>74</v>
      </c>
      <c r="AZ148" t="s">
        <v>74</v>
      </c>
      <c r="BA148" t="s">
        <v>74</v>
      </c>
      <c r="BB148" t="s">
        <v>74</v>
      </c>
      <c r="BC148" t="s">
        <v>74</v>
      </c>
      <c r="BD148" t="s">
        <v>2422</v>
      </c>
      <c r="BE148" t="s">
        <v>2423</v>
      </c>
      <c r="BF148" t="str">
        <f>HYPERLINK("http://dx.doi.org/10.1029/2004PA001047","http://dx.doi.org/10.1029/2004PA001047")</f>
        <v>http://dx.doi.org/10.1029/2004PA001047</v>
      </c>
      <c r="BG148" t="s">
        <v>74</v>
      </c>
      <c r="BH148" t="s">
        <v>74</v>
      </c>
      <c r="BI148">
        <v>15</v>
      </c>
      <c r="BJ148" t="s">
        <v>326</v>
      </c>
      <c r="BK148" t="s">
        <v>139</v>
      </c>
      <c r="BL148" t="s">
        <v>327</v>
      </c>
      <c r="BM148" t="s">
        <v>2424</v>
      </c>
      <c r="BN148" t="s">
        <v>74</v>
      </c>
      <c r="BO148" t="s">
        <v>988</v>
      </c>
      <c r="BP148" t="s">
        <v>74</v>
      </c>
      <c r="BQ148" t="s">
        <v>74</v>
      </c>
      <c r="BR148" t="s">
        <v>98</v>
      </c>
      <c r="BS148" t="s">
        <v>2425</v>
      </c>
      <c r="BT148" t="str">
        <f>HYPERLINK("https%3A%2F%2Fwww.webofscience.com%2Fwos%2Fwoscc%2Ffull-record%2FWOS:000225191500001","View Full Record in Web of Science")</f>
        <v>View Full Record in Web of Science</v>
      </c>
    </row>
    <row r="149" spans="1:72" x14ac:dyDescent="0.15">
      <c r="A149" t="s">
        <v>122</v>
      </c>
      <c r="B149" t="s">
        <v>2426</v>
      </c>
      <c r="C149" t="s">
        <v>74</v>
      </c>
      <c r="D149" t="s">
        <v>74</v>
      </c>
      <c r="E149" t="s">
        <v>74</v>
      </c>
      <c r="F149" t="s">
        <v>2426</v>
      </c>
      <c r="G149" t="s">
        <v>74</v>
      </c>
      <c r="H149" t="s">
        <v>74</v>
      </c>
      <c r="I149" t="s">
        <v>2427</v>
      </c>
      <c r="J149" t="s">
        <v>230</v>
      </c>
      <c r="K149" t="s">
        <v>74</v>
      </c>
      <c r="L149" t="s">
        <v>74</v>
      </c>
      <c r="M149" t="s">
        <v>79</v>
      </c>
      <c r="N149" t="s">
        <v>126</v>
      </c>
      <c r="O149" t="s">
        <v>74</v>
      </c>
      <c r="P149" t="s">
        <v>74</v>
      </c>
      <c r="Q149" t="s">
        <v>74</v>
      </c>
      <c r="R149" t="s">
        <v>74</v>
      </c>
      <c r="S149" t="s">
        <v>74</v>
      </c>
      <c r="T149" t="s">
        <v>74</v>
      </c>
      <c r="U149" t="s">
        <v>2428</v>
      </c>
      <c r="V149" t="s">
        <v>2429</v>
      </c>
      <c r="W149" t="s">
        <v>2430</v>
      </c>
      <c r="X149" t="s">
        <v>608</v>
      </c>
      <c r="Y149" t="s">
        <v>2431</v>
      </c>
      <c r="Z149" t="s">
        <v>2432</v>
      </c>
      <c r="AA149" t="s">
        <v>2433</v>
      </c>
      <c r="AB149" t="s">
        <v>2434</v>
      </c>
      <c r="AC149" t="s">
        <v>74</v>
      </c>
      <c r="AD149" t="s">
        <v>74</v>
      </c>
      <c r="AE149" t="s">
        <v>74</v>
      </c>
      <c r="AF149" t="s">
        <v>74</v>
      </c>
      <c r="AG149">
        <v>20</v>
      </c>
      <c r="AH149">
        <v>82</v>
      </c>
      <c r="AI149">
        <v>89</v>
      </c>
      <c r="AJ149">
        <v>0</v>
      </c>
      <c r="AK149">
        <v>11</v>
      </c>
      <c r="AL149" t="s">
        <v>239</v>
      </c>
      <c r="AM149" t="s">
        <v>240</v>
      </c>
      <c r="AN149" t="s">
        <v>241</v>
      </c>
      <c r="AO149" t="s">
        <v>242</v>
      </c>
      <c r="AP149" t="s">
        <v>341</v>
      </c>
      <c r="AQ149" t="s">
        <v>74</v>
      </c>
      <c r="AR149" t="s">
        <v>243</v>
      </c>
      <c r="AS149" t="s">
        <v>244</v>
      </c>
      <c r="AT149" t="s">
        <v>2435</v>
      </c>
      <c r="AU149">
        <v>2004</v>
      </c>
      <c r="AV149">
        <v>31</v>
      </c>
      <c r="AW149">
        <v>21</v>
      </c>
      <c r="AX149" t="s">
        <v>74</v>
      </c>
      <c r="AY149" t="s">
        <v>74</v>
      </c>
      <c r="AZ149" t="s">
        <v>74</v>
      </c>
      <c r="BA149" t="s">
        <v>74</v>
      </c>
      <c r="BB149" t="s">
        <v>74</v>
      </c>
      <c r="BC149" t="s">
        <v>74</v>
      </c>
      <c r="BD149" t="s">
        <v>2436</v>
      </c>
      <c r="BE149" t="s">
        <v>2437</v>
      </c>
      <c r="BF149" t="str">
        <f>HYPERLINK("http://dx.doi.org/10.1029/2004GL020596","http://dx.doi.org/10.1029/2004GL020596")</f>
        <v>http://dx.doi.org/10.1029/2004GL020596</v>
      </c>
      <c r="BG149" t="s">
        <v>74</v>
      </c>
      <c r="BH149" t="s">
        <v>74</v>
      </c>
      <c r="BI149">
        <v>4</v>
      </c>
      <c r="BJ149" t="s">
        <v>248</v>
      </c>
      <c r="BK149" t="s">
        <v>139</v>
      </c>
      <c r="BL149" t="s">
        <v>249</v>
      </c>
      <c r="BM149" t="s">
        <v>2438</v>
      </c>
      <c r="BN149" t="s">
        <v>74</v>
      </c>
      <c r="BO149" t="s">
        <v>74</v>
      </c>
      <c r="BP149" t="s">
        <v>74</v>
      </c>
      <c r="BQ149" t="s">
        <v>74</v>
      </c>
      <c r="BR149" t="s">
        <v>98</v>
      </c>
      <c r="BS149" t="s">
        <v>2439</v>
      </c>
      <c r="BT149" t="str">
        <f>HYPERLINK("https%3A%2F%2Fwww.webofscience.com%2Fwos%2Fwoscc%2Ffull-record%2FWOS:000225189800003","View Full Record in Web of Science")</f>
        <v>View Full Record in Web of Science</v>
      </c>
    </row>
    <row r="150" spans="1:72" x14ac:dyDescent="0.15">
      <c r="A150" t="s">
        <v>122</v>
      </c>
      <c r="B150" t="s">
        <v>2440</v>
      </c>
      <c r="C150" t="s">
        <v>74</v>
      </c>
      <c r="D150" t="s">
        <v>74</v>
      </c>
      <c r="E150" t="s">
        <v>74</v>
      </c>
      <c r="F150" t="s">
        <v>2440</v>
      </c>
      <c r="G150" t="s">
        <v>74</v>
      </c>
      <c r="H150" t="s">
        <v>74</v>
      </c>
      <c r="I150" t="s">
        <v>2441</v>
      </c>
      <c r="J150" t="s">
        <v>230</v>
      </c>
      <c r="K150" t="s">
        <v>74</v>
      </c>
      <c r="L150" t="s">
        <v>74</v>
      </c>
      <c r="M150" t="s">
        <v>79</v>
      </c>
      <c r="N150" t="s">
        <v>126</v>
      </c>
      <c r="O150" t="s">
        <v>74</v>
      </c>
      <c r="P150" t="s">
        <v>74</v>
      </c>
      <c r="Q150" t="s">
        <v>74</v>
      </c>
      <c r="R150" t="s">
        <v>74</v>
      </c>
      <c r="S150" t="s">
        <v>74</v>
      </c>
      <c r="T150" t="s">
        <v>74</v>
      </c>
      <c r="U150" t="s">
        <v>2442</v>
      </c>
      <c r="V150" t="s">
        <v>2443</v>
      </c>
      <c r="W150" t="s">
        <v>2444</v>
      </c>
      <c r="X150" t="s">
        <v>2445</v>
      </c>
      <c r="Y150" t="s">
        <v>2446</v>
      </c>
      <c r="Z150" t="s">
        <v>2447</v>
      </c>
      <c r="AA150" t="s">
        <v>2448</v>
      </c>
      <c r="AB150" t="s">
        <v>2449</v>
      </c>
      <c r="AC150" t="s">
        <v>74</v>
      </c>
      <c r="AD150" t="s">
        <v>74</v>
      </c>
      <c r="AE150" t="s">
        <v>74</v>
      </c>
      <c r="AF150" t="s">
        <v>74</v>
      </c>
      <c r="AG150">
        <v>24</v>
      </c>
      <c r="AH150">
        <v>100</v>
      </c>
      <c r="AI150">
        <v>111</v>
      </c>
      <c r="AJ150">
        <v>1</v>
      </c>
      <c r="AK150">
        <v>9</v>
      </c>
      <c r="AL150" t="s">
        <v>239</v>
      </c>
      <c r="AM150" t="s">
        <v>240</v>
      </c>
      <c r="AN150" t="s">
        <v>241</v>
      </c>
      <c r="AO150" t="s">
        <v>242</v>
      </c>
      <c r="AP150" t="s">
        <v>341</v>
      </c>
      <c r="AQ150" t="s">
        <v>74</v>
      </c>
      <c r="AR150" t="s">
        <v>243</v>
      </c>
      <c r="AS150" t="s">
        <v>244</v>
      </c>
      <c r="AT150" t="s">
        <v>2450</v>
      </c>
      <c r="AU150">
        <v>2004</v>
      </c>
      <c r="AV150">
        <v>31</v>
      </c>
      <c r="AW150">
        <v>21</v>
      </c>
      <c r="AX150" t="s">
        <v>74</v>
      </c>
      <c r="AY150" t="s">
        <v>74</v>
      </c>
      <c r="AZ150" t="s">
        <v>74</v>
      </c>
      <c r="BA150" t="s">
        <v>74</v>
      </c>
      <c r="BB150" t="s">
        <v>74</v>
      </c>
      <c r="BC150" t="s">
        <v>74</v>
      </c>
      <c r="BD150" t="s">
        <v>2451</v>
      </c>
      <c r="BE150" t="s">
        <v>2452</v>
      </c>
      <c r="BF150" t="str">
        <f>HYPERLINK("http://dx.doi.org/10.1029/2004GL021169","http://dx.doi.org/10.1029/2004GL021169")</f>
        <v>http://dx.doi.org/10.1029/2004GL021169</v>
      </c>
      <c r="BG150" t="s">
        <v>74</v>
      </c>
      <c r="BH150" t="s">
        <v>74</v>
      </c>
      <c r="BI150">
        <v>5</v>
      </c>
      <c r="BJ150" t="s">
        <v>248</v>
      </c>
      <c r="BK150" t="s">
        <v>139</v>
      </c>
      <c r="BL150" t="s">
        <v>249</v>
      </c>
      <c r="BM150" t="s">
        <v>2453</v>
      </c>
      <c r="BN150" t="s">
        <v>74</v>
      </c>
      <c r="BO150" t="s">
        <v>273</v>
      </c>
      <c r="BP150" t="s">
        <v>74</v>
      </c>
      <c r="BQ150" t="s">
        <v>74</v>
      </c>
      <c r="BR150" t="s">
        <v>98</v>
      </c>
      <c r="BS150" t="s">
        <v>2454</v>
      </c>
      <c r="BT150" t="str">
        <f>HYPERLINK("https%3A%2F%2Fwww.webofscience.com%2Fwos%2Fwoscc%2Ffull-record%2FWOS:000225030900005","View Full Record in Web of Science")</f>
        <v>View Full Record in Web of Science</v>
      </c>
    </row>
    <row r="151" spans="1:72" x14ac:dyDescent="0.15">
      <c r="A151" t="s">
        <v>122</v>
      </c>
      <c r="B151" t="s">
        <v>2455</v>
      </c>
      <c r="C151" t="s">
        <v>74</v>
      </c>
      <c r="D151" t="s">
        <v>74</v>
      </c>
      <c r="E151" t="s">
        <v>74</v>
      </c>
      <c r="F151" t="s">
        <v>2455</v>
      </c>
      <c r="G151" t="s">
        <v>74</v>
      </c>
      <c r="H151" t="s">
        <v>74</v>
      </c>
      <c r="I151" t="s">
        <v>2456</v>
      </c>
      <c r="J151" t="s">
        <v>230</v>
      </c>
      <c r="K151" t="s">
        <v>74</v>
      </c>
      <c r="L151" t="s">
        <v>74</v>
      </c>
      <c r="M151" t="s">
        <v>79</v>
      </c>
      <c r="N151" t="s">
        <v>126</v>
      </c>
      <c r="O151" t="s">
        <v>74</v>
      </c>
      <c r="P151" t="s">
        <v>74</v>
      </c>
      <c r="Q151" t="s">
        <v>74</v>
      </c>
      <c r="R151" t="s">
        <v>74</v>
      </c>
      <c r="S151" t="s">
        <v>74</v>
      </c>
      <c r="T151" t="s">
        <v>74</v>
      </c>
      <c r="U151" t="s">
        <v>2457</v>
      </c>
      <c r="V151" t="s">
        <v>2458</v>
      </c>
      <c r="W151" t="s">
        <v>2459</v>
      </c>
      <c r="X151" t="s">
        <v>2460</v>
      </c>
      <c r="Y151" t="s">
        <v>2461</v>
      </c>
      <c r="Z151" t="s">
        <v>2462</v>
      </c>
      <c r="AA151" t="s">
        <v>2463</v>
      </c>
      <c r="AB151" t="s">
        <v>2464</v>
      </c>
      <c r="AC151" t="s">
        <v>74</v>
      </c>
      <c r="AD151" t="s">
        <v>74</v>
      </c>
      <c r="AE151" t="s">
        <v>74</v>
      </c>
      <c r="AF151" t="s">
        <v>74</v>
      </c>
      <c r="AG151">
        <v>12</v>
      </c>
      <c r="AH151">
        <v>94</v>
      </c>
      <c r="AI151">
        <v>97</v>
      </c>
      <c r="AJ151">
        <v>0</v>
      </c>
      <c r="AK151">
        <v>13</v>
      </c>
      <c r="AL151" t="s">
        <v>239</v>
      </c>
      <c r="AM151" t="s">
        <v>240</v>
      </c>
      <c r="AN151" t="s">
        <v>241</v>
      </c>
      <c r="AO151" t="s">
        <v>242</v>
      </c>
      <c r="AP151" t="s">
        <v>341</v>
      </c>
      <c r="AQ151" t="s">
        <v>74</v>
      </c>
      <c r="AR151" t="s">
        <v>243</v>
      </c>
      <c r="AS151" t="s">
        <v>244</v>
      </c>
      <c r="AT151" t="s">
        <v>2465</v>
      </c>
      <c r="AU151">
        <v>2004</v>
      </c>
      <c r="AV151">
        <v>31</v>
      </c>
      <c r="AW151">
        <v>21</v>
      </c>
      <c r="AX151" t="s">
        <v>74</v>
      </c>
      <c r="AY151" t="s">
        <v>74</v>
      </c>
      <c r="AZ151" t="s">
        <v>74</v>
      </c>
      <c r="BA151" t="s">
        <v>74</v>
      </c>
      <c r="BB151" t="s">
        <v>74</v>
      </c>
      <c r="BC151" t="s">
        <v>74</v>
      </c>
      <c r="BD151" t="s">
        <v>2466</v>
      </c>
      <c r="BE151" t="s">
        <v>2467</v>
      </c>
      <c r="BF151" t="str">
        <f>HYPERLINK("http://dx.doi.org/10.1029/2004GL020785","http://dx.doi.org/10.1029/2004GL020785")</f>
        <v>http://dx.doi.org/10.1029/2004GL020785</v>
      </c>
      <c r="BG151" t="s">
        <v>74</v>
      </c>
      <c r="BH151" t="s">
        <v>74</v>
      </c>
      <c r="BI151">
        <v>4</v>
      </c>
      <c r="BJ151" t="s">
        <v>248</v>
      </c>
      <c r="BK151" t="s">
        <v>139</v>
      </c>
      <c r="BL151" t="s">
        <v>249</v>
      </c>
      <c r="BM151" t="s">
        <v>2468</v>
      </c>
      <c r="BN151" t="s">
        <v>74</v>
      </c>
      <c r="BO151" t="s">
        <v>2469</v>
      </c>
      <c r="BP151" t="s">
        <v>74</v>
      </c>
      <c r="BQ151" t="s">
        <v>74</v>
      </c>
      <c r="BR151" t="s">
        <v>98</v>
      </c>
      <c r="BS151" t="s">
        <v>2470</v>
      </c>
      <c r="BT151" t="str">
        <f>HYPERLINK("https%3A%2F%2Fwww.webofscience.com%2Fwos%2Fwoscc%2Ffull-record%2FWOS:000225030700001","View Full Record in Web of Science")</f>
        <v>View Full Record in Web of Science</v>
      </c>
    </row>
    <row r="152" spans="1:72" x14ac:dyDescent="0.15">
      <c r="A152" t="s">
        <v>122</v>
      </c>
      <c r="B152" t="s">
        <v>2471</v>
      </c>
      <c r="C152" t="s">
        <v>74</v>
      </c>
      <c r="D152" t="s">
        <v>74</v>
      </c>
      <c r="E152" t="s">
        <v>74</v>
      </c>
      <c r="F152" t="s">
        <v>2471</v>
      </c>
      <c r="G152" t="s">
        <v>74</v>
      </c>
      <c r="H152" t="s">
        <v>74</v>
      </c>
      <c r="I152" t="s">
        <v>2472</v>
      </c>
      <c r="J152" t="s">
        <v>230</v>
      </c>
      <c r="K152" t="s">
        <v>74</v>
      </c>
      <c r="L152" t="s">
        <v>74</v>
      </c>
      <c r="M152" t="s">
        <v>79</v>
      </c>
      <c r="N152" t="s">
        <v>126</v>
      </c>
      <c r="O152" t="s">
        <v>74</v>
      </c>
      <c r="P152" t="s">
        <v>74</v>
      </c>
      <c r="Q152" t="s">
        <v>74</v>
      </c>
      <c r="R152" t="s">
        <v>74</v>
      </c>
      <c r="S152" t="s">
        <v>74</v>
      </c>
      <c r="T152" t="s">
        <v>74</v>
      </c>
      <c r="U152" t="s">
        <v>2473</v>
      </c>
      <c r="V152" t="s">
        <v>2474</v>
      </c>
      <c r="W152" t="s">
        <v>2475</v>
      </c>
      <c r="X152" t="s">
        <v>2476</v>
      </c>
      <c r="Y152" t="s">
        <v>2477</v>
      </c>
      <c r="Z152" t="s">
        <v>2478</v>
      </c>
      <c r="AA152" t="s">
        <v>2479</v>
      </c>
      <c r="AB152" t="s">
        <v>2480</v>
      </c>
      <c r="AC152" t="s">
        <v>74</v>
      </c>
      <c r="AD152" t="s">
        <v>74</v>
      </c>
      <c r="AE152" t="s">
        <v>74</v>
      </c>
      <c r="AF152" t="s">
        <v>74</v>
      </c>
      <c r="AG152">
        <v>18</v>
      </c>
      <c r="AH152">
        <v>13</v>
      </c>
      <c r="AI152">
        <v>16</v>
      </c>
      <c r="AJ152">
        <v>4</v>
      </c>
      <c r="AK152">
        <v>16</v>
      </c>
      <c r="AL152" t="s">
        <v>239</v>
      </c>
      <c r="AM152" t="s">
        <v>240</v>
      </c>
      <c r="AN152" t="s">
        <v>241</v>
      </c>
      <c r="AO152" t="s">
        <v>242</v>
      </c>
      <c r="AP152" t="s">
        <v>341</v>
      </c>
      <c r="AQ152" t="s">
        <v>74</v>
      </c>
      <c r="AR152" t="s">
        <v>243</v>
      </c>
      <c r="AS152" t="s">
        <v>244</v>
      </c>
      <c r="AT152" t="s">
        <v>2465</v>
      </c>
      <c r="AU152">
        <v>2004</v>
      </c>
      <c r="AV152">
        <v>31</v>
      </c>
      <c r="AW152">
        <v>21</v>
      </c>
      <c r="AX152" t="s">
        <v>74</v>
      </c>
      <c r="AY152" t="s">
        <v>74</v>
      </c>
      <c r="AZ152" t="s">
        <v>74</v>
      </c>
      <c r="BA152" t="s">
        <v>74</v>
      </c>
      <c r="BB152" t="s">
        <v>74</v>
      </c>
      <c r="BC152" t="s">
        <v>74</v>
      </c>
      <c r="BD152" t="s">
        <v>2481</v>
      </c>
      <c r="BE152" t="s">
        <v>2482</v>
      </c>
      <c r="BF152" t="str">
        <f>HYPERLINK("http://dx.doi.org/10.1029/2004GL021151","http://dx.doi.org/10.1029/2004GL021151")</f>
        <v>http://dx.doi.org/10.1029/2004GL021151</v>
      </c>
      <c r="BG152" t="s">
        <v>74</v>
      </c>
      <c r="BH152" t="s">
        <v>74</v>
      </c>
      <c r="BI152">
        <v>4</v>
      </c>
      <c r="BJ152" t="s">
        <v>248</v>
      </c>
      <c r="BK152" t="s">
        <v>139</v>
      </c>
      <c r="BL152" t="s">
        <v>249</v>
      </c>
      <c r="BM152" t="s">
        <v>2468</v>
      </c>
      <c r="BN152" t="s">
        <v>74</v>
      </c>
      <c r="BO152" t="s">
        <v>273</v>
      </c>
      <c r="BP152" t="s">
        <v>74</v>
      </c>
      <c r="BQ152" t="s">
        <v>74</v>
      </c>
      <c r="BR152" t="s">
        <v>98</v>
      </c>
      <c r="BS152" t="s">
        <v>2483</v>
      </c>
      <c r="BT152" t="str">
        <f>HYPERLINK("https%3A%2F%2Fwww.webofscience.com%2Fwos%2Fwoscc%2Ffull-record%2FWOS:000225030700004","View Full Record in Web of Science")</f>
        <v>View Full Record in Web of Science</v>
      </c>
    </row>
    <row r="153" spans="1:72" x14ac:dyDescent="0.15">
      <c r="A153" t="s">
        <v>122</v>
      </c>
      <c r="B153" t="s">
        <v>2484</v>
      </c>
      <c r="C153" t="s">
        <v>74</v>
      </c>
      <c r="D153" t="s">
        <v>74</v>
      </c>
      <c r="E153" t="s">
        <v>74</v>
      </c>
      <c r="F153" t="s">
        <v>2484</v>
      </c>
      <c r="G153" t="s">
        <v>74</v>
      </c>
      <c r="H153" t="s">
        <v>74</v>
      </c>
      <c r="I153" t="s">
        <v>2485</v>
      </c>
      <c r="J153" t="s">
        <v>643</v>
      </c>
      <c r="K153" t="s">
        <v>74</v>
      </c>
      <c r="L153" t="s">
        <v>74</v>
      </c>
      <c r="M153" t="s">
        <v>79</v>
      </c>
      <c r="N153" t="s">
        <v>126</v>
      </c>
      <c r="O153" t="s">
        <v>74</v>
      </c>
      <c r="P153" t="s">
        <v>74</v>
      </c>
      <c r="Q153" t="s">
        <v>74</v>
      </c>
      <c r="R153" t="s">
        <v>74</v>
      </c>
      <c r="S153" t="s">
        <v>74</v>
      </c>
      <c r="T153" t="s">
        <v>2486</v>
      </c>
      <c r="U153" t="s">
        <v>2487</v>
      </c>
      <c r="V153" t="s">
        <v>2488</v>
      </c>
      <c r="W153" t="s">
        <v>2489</v>
      </c>
      <c r="X153" t="s">
        <v>2490</v>
      </c>
      <c r="Y153" t="s">
        <v>2491</v>
      </c>
      <c r="Z153" t="s">
        <v>2492</v>
      </c>
      <c r="AA153" t="s">
        <v>2493</v>
      </c>
      <c r="AB153" t="s">
        <v>2494</v>
      </c>
      <c r="AC153" t="s">
        <v>74</v>
      </c>
      <c r="AD153" t="s">
        <v>74</v>
      </c>
      <c r="AE153" t="s">
        <v>74</v>
      </c>
      <c r="AF153" t="s">
        <v>74</v>
      </c>
      <c r="AG153">
        <v>63</v>
      </c>
      <c r="AH153">
        <v>70</v>
      </c>
      <c r="AI153">
        <v>75</v>
      </c>
      <c r="AJ153">
        <v>0</v>
      </c>
      <c r="AK153">
        <v>11</v>
      </c>
      <c r="AL153" t="s">
        <v>239</v>
      </c>
      <c r="AM153" t="s">
        <v>240</v>
      </c>
      <c r="AN153" t="s">
        <v>241</v>
      </c>
      <c r="AO153" t="s">
        <v>653</v>
      </c>
      <c r="AP153" t="s">
        <v>654</v>
      </c>
      <c r="AQ153" t="s">
        <v>74</v>
      </c>
      <c r="AR153" t="s">
        <v>655</v>
      </c>
      <c r="AS153" t="s">
        <v>656</v>
      </c>
      <c r="AT153" t="s">
        <v>2465</v>
      </c>
      <c r="AU153">
        <v>2004</v>
      </c>
      <c r="AV153">
        <v>109</v>
      </c>
      <c r="AW153" t="s">
        <v>2264</v>
      </c>
      <c r="AX153" t="s">
        <v>74</v>
      </c>
      <c r="AY153" t="s">
        <v>74</v>
      </c>
      <c r="AZ153" t="s">
        <v>74</v>
      </c>
      <c r="BA153" t="s">
        <v>74</v>
      </c>
      <c r="BB153" t="s">
        <v>74</v>
      </c>
      <c r="BC153" t="s">
        <v>74</v>
      </c>
      <c r="BD153" t="s">
        <v>2495</v>
      </c>
      <c r="BE153" t="s">
        <v>2496</v>
      </c>
      <c r="BF153" t="str">
        <f>HYPERLINK("http://dx.doi.org/10.1029/2004JC002441","http://dx.doi.org/10.1029/2004JC002441")</f>
        <v>http://dx.doi.org/10.1029/2004JC002441</v>
      </c>
      <c r="BG153" t="s">
        <v>74</v>
      </c>
      <c r="BH153" t="s">
        <v>74</v>
      </c>
      <c r="BI153">
        <v>18</v>
      </c>
      <c r="BJ153" t="s">
        <v>660</v>
      </c>
      <c r="BK153" t="s">
        <v>139</v>
      </c>
      <c r="BL153" t="s">
        <v>660</v>
      </c>
      <c r="BM153" t="s">
        <v>2497</v>
      </c>
      <c r="BN153" t="s">
        <v>74</v>
      </c>
      <c r="BO153" t="s">
        <v>1799</v>
      </c>
      <c r="BP153" t="s">
        <v>74</v>
      </c>
      <c r="BQ153" t="s">
        <v>74</v>
      </c>
      <c r="BR153" t="s">
        <v>98</v>
      </c>
      <c r="BS153" t="s">
        <v>2498</v>
      </c>
      <c r="BT153" t="str">
        <f>HYPERLINK("https%3A%2F%2Fwww.webofscience.com%2Fwos%2Fwoscc%2Ffull-record%2FWOS:000225031900002","View Full Record in Web of Science")</f>
        <v>View Full Record in Web of Science</v>
      </c>
    </row>
    <row r="154" spans="1:72" x14ac:dyDescent="0.15">
      <c r="A154" t="s">
        <v>122</v>
      </c>
      <c r="B154" t="s">
        <v>2499</v>
      </c>
      <c r="C154" t="s">
        <v>74</v>
      </c>
      <c r="D154" t="s">
        <v>74</v>
      </c>
      <c r="E154" t="s">
        <v>74</v>
      </c>
      <c r="F154" t="s">
        <v>2499</v>
      </c>
      <c r="G154" t="s">
        <v>74</v>
      </c>
      <c r="H154" t="s">
        <v>74</v>
      </c>
      <c r="I154" t="s">
        <v>2500</v>
      </c>
      <c r="J154" t="s">
        <v>365</v>
      </c>
      <c r="K154" t="s">
        <v>74</v>
      </c>
      <c r="L154" t="s">
        <v>74</v>
      </c>
      <c r="M154" t="s">
        <v>79</v>
      </c>
      <c r="N154" t="s">
        <v>126</v>
      </c>
      <c r="O154" t="s">
        <v>74</v>
      </c>
      <c r="P154" t="s">
        <v>74</v>
      </c>
      <c r="Q154" t="s">
        <v>74</v>
      </c>
      <c r="R154" t="s">
        <v>74</v>
      </c>
      <c r="S154" t="s">
        <v>74</v>
      </c>
      <c r="T154" t="s">
        <v>74</v>
      </c>
      <c r="U154" t="s">
        <v>2501</v>
      </c>
      <c r="V154" t="s">
        <v>2502</v>
      </c>
      <c r="W154" t="s">
        <v>2503</v>
      </c>
      <c r="X154" t="s">
        <v>2504</v>
      </c>
      <c r="Y154" t="s">
        <v>2505</v>
      </c>
      <c r="Z154" t="s">
        <v>2506</v>
      </c>
      <c r="AA154" t="s">
        <v>2507</v>
      </c>
      <c r="AB154" t="s">
        <v>2508</v>
      </c>
      <c r="AC154" t="s">
        <v>74</v>
      </c>
      <c r="AD154" t="s">
        <v>74</v>
      </c>
      <c r="AE154" t="s">
        <v>74</v>
      </c>
      <c r="AF154" t="s">
        <v>74</v>
      </c>
      <c r="AG154">
        <v>32</v>
      </c>
      <c r="AH154">
        <v>159</v>
      </c>
      <c r="AI154">
        <v>172</v>
      </c>
      <c r="AJ154">
        <v>1</v>
      </c>
      <c r="AK154">
        <v>32</v>
      </c>
      <c r="AL154" t="s">
        <v>374</v>
      </c>
      <c r="AM154" t="s">
        <v>375</v>
      </c>
      <c r="AN154" t="s">
        <v>376</v>
      </c>
      <c r="AO154" t="s">
        <v>377</v>
      </c>
      <c r="AP154" t="s">
        <v>378</v>
      </c>
      <c r="AQ154" t="s">
        <v>74</v>
      </c>
      <c r="AR154" t="s">
        <v>365</v>
      </c>
      <c r="AS154" t="s">
        <v>379</v>
      </c>
      <c r="AT154" t="s">
        <v>2465</v>
      </c>
      <c r="AU154">
        <v>2004</v>
      </c>
      <c r="AV154">
        <v>432</v>
      </c>
      <c r="AW154">
        <v>7013</v>
      </c>
      <c r="AX154" t="s">
        <v>74</v>
      </c>
      <c r="AY154" t="s">
        <v>74</v>
      </c>
      <c r="AZ154" t="s">
        <v>74</v>
      </c>
      <c r="BA154" t="s">
        <v>74</v>
      </c>
      <c r="BB154">
        <v>91</v>
      </c>
      <c r="BC154">
        <v>94</v>
      </c>
      <c r="BD154" t="s">
        <v>74</v>
      </c>
      <c r="BE154" t="s">
        <v>2509</v>
      </c>
      <c r="BF154" t="str">
        <f>HYPERLINK("http://dx.doi.org/10.1038/nature03026","http://dx.doi.org/10.1038/nature03026")</f>
        <v>http://dx.doi.org/10.1038/nature03026</v>
      </c>
      <c r="BG154" t="s">
        <v>74</v>
      </c>
      <c r="BH154" t="s">
        <v>74</v>
      </c>
      <c r="BI154">
        <v>4</v>
      </c>
      <c r="BJ154" t="s">
        <v>381</v>
      </c>
      <c r="BK154" t="s">
        <v>139</v>
      </c>
      <c r="BL154" t="s">
        <v>382</v>
      </c>
      <c r="BM154" t="s">
        <v>2510</v>
      </c>
      <c r="BN154">
        <v>15525986</v>
      </c>
      <c r="BO154" t="s">
        <v>74</v>
      </c>
      <c r="BP154" t="s">
        <v>74</v>
      </c>
      <c r="BQ154" t="s">
        <v>74</v>
      </c>
      <c r="BR154" t="s">
        <v>98</v>
      </c>
      <c r="BS154" t="s">
        <v>2511</v>
      </c>
      <c r="BT154" t="str">
        <f>HYPERLINK("https%3A%2F%2Fwww.webofscience.com%2Fwos%2Fwoscc%2Ffull-record%2FWOS:000224854900045","View Full Record in Web of Science")</f>
        <v>View Full Record in Web of Science</v>
      </c>
    </row>
    <row r="155" spans="1:72" x14ac:dyDescent="0.15">
      <c r="A155" t="s">
        <v>122</v>
      </c>
      <c r="B155" t="s">
        <v>2512</v>
      </c>
      <c r="C155" t="s">
        <v>74</v>
      </c>
      <c r="D155" t="s">
        <v>74</v>
      </c>
      <c r="E155" t="s">
        <v>74</v>
      </c>
      <c r="F155" t="s">
        <v>2512</v>
      </c>
      <c r="G155" t="s">
        <v>74</v>
      </c>
      <c r="H155" t="s">
        <v>74</v>
      </c>
      <c r="I155" t="s">
        <v>2513</v>
      </c>
      <c r="J155" t="s">
        <v>365</v>
      </c>
      <c r="K155" t="s">
        <v>74</v>
      </c>
      <c r="L155" t="s">
        <v>74</v>
      </c>
      <c r="M155" t="s">
        <v>79</v>
      </c>
      <c r="N155" t="s">
        <v>126</v>
      </c>
      <c r="O155" t="s">
        <v>74</v>
      </c>
      <c r="P155" t="s">
        <v>74</v>
      </c>
      <c r="Q155" t="s">
        <v>74</v>
      </c>
      <c r="R155" t="s">
        <v>74</v>
      </c>
      <c r="S155" t="s">
        <v>74</v>
      </c>
      <c r="T155" t="s">
        <v>74</v>
      </c>
      <c r="U155" t="s">
        <v>2514</v>
      </c>
      <c r="V155" t="s">
        <v>2515</v>
      </c>
      <c r="W155" t="s">
        <v>2516</v>
      </c>
      <c r="X155" t="s">
        <v>2517</v>
      </c>
      <c r="Y155" t="s">
        <v>2518</v>
      </c>
      <c r="Z155" t="s">
        <v>2519</v>
      </c>
      <c r="AA155" t="s">
        <v>2520</v>
      </c>
      <c r="AB155" t="s">
        <v>74</v>
      </c>
      <c r="AC155" t="s">
        <v>74</v>
      </c>
      <c r="AD155" t="s">
        <v>74</v>
      </c>
      <c r="AE155" t="s">
        <v>74</v>
      </c>
      <c r="AF155" t="s">
        <v>74</v>
      </c>
      <c r="AG155">
        <v>30</v>
      </c>
      <c r="AH155">
        <v>859</v>
      </c>
      <c r="AI155">
        <v>1004</v>
      </c>
      <c r="AJ155">
        <v>10</v>
      </c>
      <c r="AK155">
        <v>433</v>
      </c>
      <c r="AL155" t="s">
        <v>374</v>
      </c>
      <c r="AM155" t="s">
        <v>375</v>
      </c>
      <c r="AN155" t="s">
        <v>376</v>
      </c>
      <c r="AO155" t="s">
        <v>377</v>
      </c>
      <c r="AP155" t="s">
        <v>378</v>
      </c>
      <c r="AQ155" t="s">
        <v>74</v>
      </c>
      <c r="AR155" t="s">
        <v>365</v>
      </c>
      <c r="AS155" t="s">
        <v>379</v>
      </c>
      <c r="AT155" t="s">
        <v>2465</v>
      </c>
      <c r="AU155">
        <v>2004</v>
      </c>
      <c r="AV155">
        <v>432</v>
      </c>
      <c r="AW155">
        <v>7013</v>
      </c>
      <c r="AX155" t="s">
        <v>74</v>
      </c>
      <c r="AY155" t="s">
        <v>74</v>
      </c>
      <c r="AZ155" t="s">
        <v>74</v>
      </c>
      <c r="BA155" t="s">
        <v>74</v>
      </c>
      <c r="BB155">
        <v>100</v>
      </c>
      <c r="BC155">
        <v>103</v>
      </c>
      <c r="BD155" t="s">
        <v>74</v>
      </c>
      <c r="BE155" t="s">
        <v>2521</v>
      </c>
      <c r="BF155" t="str">
        <f>HYPERLINK("http://dx.doi.org/10.1038/nature02996","http://dx.doi.org/10.1038/nature02996")</f>
        <v>http://dx.doi.org/10.1038/nature02996</v>
      </c>
      <c r="BG155" t="s">
        <v>74</v>
      </c>
      <c r="BH155" t="s">
        <v>74</v>
      </c>
      <c r="BI155">
        <v>4</v>
      </c>
      <c r="BJ155" t="s">
        <v>381</v>
      </c>
      <c r="BK155" t="s">
        <v>139</v>
      </c>
      <c r="BL155" t="s">
        <v>382</v>
      </c>
      <c r="BM155" t="s">
        <v>2510</v>
      </c>
      <c r="BN155">
        <v>15525989</v>
      </c>
      <c r="BO155" t="s">
        <v>74</v>
      </c>
      <c r="BP155" t="s">
        <v>74</v>
      </c>
      <c r="BQ155" t="s">
        <v>74</v>
      </c>
      <c r="BR155" t="s">
        <v>98</v>
      </c>
      <c r="BS155" t="s">
        <v>2522</v>
      </c>
      <c r="BT155" t="str">
        <f>HYPERLINK("https%3A%2F%2Fwww.webofscience.com%2Fwos%2Fwoscc%2Ffull-record%2FWOS:000224854900048","View Full Record in Web of Science")</f>
        <v>View Full Record in Web of Science</v>
      </c>
    </row>
    <row r="156" spans="1:72" x14ac:dyDescent="0.15">
      <c r="A156" t="s">
        <v>122</v>
      </c>
      <c r="B156" t="s">
        <v>2523</v>
      </c>
      <c r="C156" t="s">
        <v>74</v>
      </c>
      <c r="D156" t="s">
        <v>74</v>
      </c>
      <c r="E156" t="s">
        <v>74</v>
      </c>
      <c r="F156" t="s">
        <v>2523</v>
      </c>
      <c r="G156" t="s">
        <v>74</v>
      </c>
      <c r="H156" t="s">
        <v>74</v>
      </c>
      <c r="I156" t="s">
        <v>2524</v>
      </c>
      <c r="J156" t="s">
        <v>2283</v>
      </c>
      <c r="K156" t="s">
        <v>74</v>
      </c>
      <c r="L156" t="s">
        <v>74</v>
      </c>
      <c r="M156" t="s">
        <v>79</v>
      </c>
      <c r="N156" t="s">
        <v>1129</v>
      </c>
      <c r="O156" t="s">
        <v>2525</v>
      </c>
      <c r="P156" t="s">
        <v>2526</v>
      </c>
      <c r="Q156" t="s">
        <v>2527</v>
      </c>
      <c r="R156" t="s">
        <v>74</v>
      </c>
      <c r="S156" t="s">
        <v>74</v>
      </c>
      <c r="T156" t="s">
        <v>2528</v>
      </c>
      <c r="U156" t="s">
        <v>2529</v>
      </c>
      <c r="V156" t="s">
        <v>2530</v>
      </c>
      <c r="W156" t="s">
        <v>2531</v>
      </c>
      <c r="X156" t="s">
        <v>2532</v>
      </c>
      <c r="Y156" t="s">
        <v>2533</v>
      </c>
      <c r="Z156" t="s">
        <v>2534</v>
      </c>
      <c r="AA156" t="s">
        <v>2535</v>
      </c>
      <c r="AB156" t="s">
        <v>2536</v>
      </c>
      <c r="AC156" t="s">
        <v>74</v>
      </c>
      <c r="AD156" t="s">
        <v>74</v>
      </c>
      <c r="AE156" t="s">
        <v>74</v>
      </c>
      <c r="AF156" t="s">
        <v>74</v>
      </c>
      <c r="AG156">
        <v>75</v>
      </c>
      <c r="AH156">
        <v>39</v>
      </c>
      <c r="AI156">
        <v>42</v>
      </c>
      <c r="AJ156">
        <v>2</v>
      </c>
      <c r="AK156">
        <v>29</v>
      </c>
      <c r="AL156" t="s">
        <v>531</v>
      </c>
      <c r="AM156" t="s">
        <v>532</v>
      </c>
      <c r="AN156" t="s">
        <v>533</v>
      </c>
      <c r="AO156" t="s">
        <v>2294</v>
      </c>
      <c r="AP156" t="s">
        <v>2295</v>
      </c>
      <c r="AQ156" t="s">
        <v>74</v>
      </c>
      <c r="AR156" t="s">
        <v>2296</v>
      </c>
      <c r="AS156" t="s">
        <v>2297</v>
      </c>
      <c r="AT156" t="s">
        <v>2465</v>
      </c>
      <c r="AU156">
        <v>2004</v>
      </c>
      <c r="AV156">
        <v>214</v>
      </c>
      <c r="AW156" t="s">
        <v>2537</v>
      </c>
      <c r="AX156" t="s">
        <v>74</v>
      </c>
      <c r="AY156" t="s">
        <v>74</v>
      </c>
      <c r="AZ156" t="s">
        <v>74</v>
      </c>
      <c r="BA156" t="s">
        <v>74</v>
      </c>
      <c r="BB156">
        <v>11</v>
      </c>
      <c r="BC156">
        <v>25</v>
      </c>
      <c r="BD156" t="s">
        <v>74</v>
      </c>
      <c r="BE156" t="s">
        <v>2538</v>
      </c>
      <c r="BF156" t="str">
        <f>HYPERLINK("http://dx.doi.org/10.1016/j.palaeo.2004.06.016","http://dx.doi.org/10.1016/j.palaeo.2004.06.016")</f>
        <v>http://dx.doi.org/10.1016/j.palaeo.2004.06.016</v>
      </c>
      <c r="BG156" t="s">
        <v>74</v>
      </c>
      <c r="BH156" t="s">
        <v>74</v>
      </c>
      <c r="BI156">
        <v>15</v>
      </c>
      <c r="BJ156" t="s">
        <v>2299</v>
      </c>
      <c r="BK156" t="s">
        <v>1257</v>
      </c>
      <c r="BL156" t="s">
        <v>2300</v>
      </c>
      <c r="BM156" t="s">
        <v>2539</v>
      </c>
      <c r="BN156" t="s">
        <v>74</v>
      </c>
      <c r="BO156" t="s">
        <v>74</v>
      </c>
      <c r="BP156" t="s">
        <v>74</v>
      </c>
      <c r="BQ156" t="s">
        <v>74</v>
      </c>
      <c r="BR156" t="s">
        <v>98</v>
      </c>
      <c r="BS156" t="s">
        <v>2540</v>
      </c>
      <c r="BT156" t="str">
        <f>HYPERLINK("https%3A%2F%2Fwww.webofscience.com%2Fwos%2Fwoscc%2Ffull-record%2FWOS:000224925200003","View Full Record in Web of Science")</f>
        <v>View Full Record in Web of Science</v>
      </c>
    </row>
    <row r="157" spans="1:72" x14ac:dyDescent="0.15">
      <c r="A157" t="s">
        <v>122</v>
      </c>
      <c r="B157" t="s">
        <v>2541</v>
      </c>
      <c r="C157" t="s">
        <v>74</v>
      </c>
      <c r="D157" t="s">
        <v>74</v>
      </c>
      <c r="E157" t="s">
        <v>74</v>
      </c>
      <c r="F157" t="s">
        <v>2541</v>
      </c>
      <c r="G157" t="s">
        <v>74</v>
      </c>
      <c r="H157" t="s">
        <v>74</v>
      </c>
      <c r="I157" t="s">
        <v>2542</v>
      </c>
      <c r="J157" t="s">
        <v>475</v>
      </c>
      <c r="K157" t="s">
        <v>74</v>
      </c>
      <c r="L157" t="s">
        <v>74</v>
      </c>
      <c r="M157" t="s">
        <v>79</v>
      </c>
      <c r="N157" t="s">
        <v>126</v>
      </c>
      <c r="O157" t="s">
        <v>74</v>
      </c>
      <c r="P157" t="s">
        <v>74</v>
      </c>
      <c r="Q157" t="s">
        <v>74</v>
      </c>
      <c r="R157" t="s">
        <v>74</v>
      </c>
      <c r="S157" t="s">
        <v>74</v>
      </c>
      <c r="T157" t="s">
        <v>2543</v>
      </c>
      <c r="U157" t="s">
        <v>2544</v>
      </c>
      <c r="V157" t="s">
        <v>2545</v>
      </c>
      <c r="W157" t="s">
        <v>2546</v>
      </c>
      <c r="X157" t="s">
        <v>2547</v>
      </c>
      <c r="Y157" t="s">
        <v>2548</v>
      </c>
      <c r="Z157" t="s">
        <v>2549</v>
      </c>
      <c r="AA157" t="s">
        <v>2550</v>
      </c>
      <c r="AB157" t="s">
        <v>2551</v>
      </c>
      <c r="AC157" t="s">
        <v>74</v>
      </c>
      <c r="AD157" t="s">
        <v>74</v>
      </c>
      <c r="AE157" t="s">
        <v>74</v>
      </c>
      <c r="AF157" t="s">
        <v>74</v>
      </c>
      <c r="AG157">
        <v>42</v>
      </c>
      <c r="AH157">
        <v>30</v>
      </c>
      <c r="AI157">
        <v>31</v>
      </c>
      <c r="AJ157">
        <v>0</v>
      </c>
      <c r="AK157">
        <v>1</v>
      </c>
      <c r="AL157" t="s">
        <v>239</v>
      </c>
      <c r="AM157" t="s">
        <v>240</v>
      </c>
      <c r="AN157" t="s">
        <v>241</v>
      </c>
      <c r="AO157" t="s">
        <v>484</v>
      </c>
      <c r="AP157" t="s">
        <v>485</v>
      </c>
      <c r="AQ157" t="s">
        <v>74</v>
      </c>
      <c r="AR157" t="s">
        <v>486</v>
      </c>
      <c r="AS157" t="s">
        <v>487</v>
      </c>
      <c r="AT157" t="s">
        <v>2552</v>
      </c>
      <c r="AU157">
        <v>2004</v>
      </c>
      <c r="AV157">
        <v>109</v>
      </c>
      <c r="AW157" t="s">
        <v>2553</v>
      </c>
      <c r="AX157" t="s">
        <v>74</v>
      </c>
      <c r="AY157" t="s">
        <v>74</v>
      </c>
      <c r="AZ157" t="s">
        <v>74</v>
      </c>
      <c r="BA157" t="s">
        <v>74</v>
      </c>
      <c r="BB157" t="s">
        <v>74</v>
      </c>
      <c r="BC157" t="s">
        <v>74</v>
      </c>
      <c r="BD157" t="s">
        <v>2554</v>
      </c>
      <c r="BE157" t="s">
        <v>2555</v>
      </c>
      <c r="BF157" t="str">
        <f>HYPERLINK("http://dx.doi.org/10.1029/2004JA010491","http://dx.doi.org/10.1029/2004JA010491")</f>
        <v>http://dx.doi.org/10.1029/2004JA010491</v>
      </c>
      <c r="BG157" t="s">
        <v>74</v>
      </c>
      <c r="BH157" t="s">
        <v>74</v>
      </c>
      <c r="BI157">
        <v>9</v>
      </c>
      <c r="BJ157" t="s">
        <v>491</v>
      </c>
      <c r="BK157" t="s">
        <v>139</v>
      </c>
      <c r="BL157" t="s">
        <v>491</v>
      </c>
      <c r="BM157" t="s">
        <v>2556</v>
      </c>
      <c r="BN157" t="s">
        <v>74</v>
      </c>
      <c r="BO157" t="s">
        <v>273</v>
      </c>
      <c r="BP157" t="s">
        <v>74</v>
      </c>
      <c r="BQ157" t="s">
        <v>74</v>
      </c>
      <c r="BR157" t="s">
        <v>98</v>
      </c>
      <c r="BS157" t="s">
        <v>2557</v>
      </c>
      <c r="BT157" t="str">
        <f>HYPERLINK("https%3A%2F%2Fwww.webofscience.com%2Fwos%2Fwoscc%2Ffull-record%2FWOS:000225032700001","View Full Record in Web of Science")</f>
        <v>View Full Record in Web of Science</v>
      </c>
    </row>
    <row r="158" spans="1:72" x14ac:dyDescent="0.15">
      <c r="A158" t="s">
        <v>122</v>
      </c>
      <c r="B158" t="s">
        <v>2558</v>
      </c>
      <c r="C158" t="s">
        <v>74</v>
      </c>
      <c r="D158" t="s">
        <v>74</v>
      </c>
      <c r="E158" t="s">
        <v>74</v>
      </c>
      <c r="F158" t="s">
        <v>2558</v>
      </c>
      <c r="G158" t="s">
        <v>74</v>
      </c>
      <c r="H158" t="s">
        <v>74</v>
      </c>
      <c r="I158" t="s">
        <v>2559</v>
      </c>
      <c r="J158" t="s">
        <v>496</v>
      </c>
      <c r="K158" t="s">
        <v>74</v>
      </c>
      <c r="L158" t="s">
        <v>74</v>
      </c>
      <c r="M158" t="s">
        <v>79</v>
      </c>
      <c r="N158" t="s">
        <v>126</v>
      </c>
      <c r="O158" t="s">
        <v>74</v>
      </c>
      <c r="P158" t="s">
        <v>74</v>
      </c>
      <c r="Q158" t="s">
        <v>74</v>
      </c>
      <c r="R158" t="s">
        <v>74</v>
      </c>
      <c r="S158" t="s">
        <v>74</v>
      </c>
      <c r="T158" t="s">
        <v>2560</v>
      </c>
      <c r="U158" t="s">
        <v>2561</v>
      </c>
      <c r="V158" t="s">
        <v>2562</v>
      </c>
      <c r="W158" t="s">
        <v>2563</v>
      </c>
      <c r="X158" t="s">
        <v>103</v>
      </c>
      <c r="Y158" t="s">
        <v>2564</v>
      </c>
      <c r="Z158" t="s">
        <v>2565</v>
      </c>
      <c r="AA158" t="s">
        <v>74</v>
      </c>
      <c r="AB158" t="s">
        <v>2566</v>
      </c>
      <c r="AC158" t="s">
        <v>74</v>
      </c>
      <c r="AD158" t="s">
        <v>74</v>
      </c>
      <c r="AE158" t="s">
        <v>74</v>
      </c>
      <c r="AF158" t="s">
        <v>74</v>
      </c>
      <c r="AG158">
        <v>55</v>
      </c>
      <c r="AH158">
        <v>16</v>
      </c>
      <c r="AI158">
        <v>19</v>
      </c>
      <c r="AJ158">
        <v>1</v>
      </c>
      <c r="AK158">
        <v>19</v>
      </c>
      <c r="AL158" t="s">
        <v>506</v>
      </c>
      <c r="AM158" t="s">
        <v>507</v>
      </c>
      <c r="AN158" t="s">
        <v>508</v>
      </c>
      <c r="AO158" t="s">
        <v>509</v>
      </c>
      <c r="AP158" t="s">
        <v>510</v>
      </c>
      <c r="AQ158" t="s">
        <v>74</v>
      </c>
      <c r="AR158" t="s">
        <v>511</v>
      </c>
      <c r="AS158" t="s">
        <v>512</v>
      </c>
      <c r="AT158" t="s">
        <v>2567</v>
      </c>
      <c r="AU158">
        <v>2004</v>
      </c>
      <c r="AV158">
        <v>37</v>
      </c>
      <c r="AW158">
        <v>1</v>
      </c>
      <c r="AX158" t="s">
        <v>74</v>
      </c>
      <c r="AY158" t="s">
        <v>74</v>
      </c>
      <c r="AZ158" t="s">
        <v>74</v>
      </c>
      <c r="BA158" t="s">
        <v>74</v>
      </c>
      <c r="BB158">
        <v>33</v>
      </c>
      <c r="BC158">
        <v>45</v>
      </c>
      <c r="BD158" t="s">
        <v>74</v>
      </c>
      <c r="BE158" t="s">
        <v>2568</v>
      </c>
      <c r="BF158" t="str">
        <f>HYPERLINK("http://dx.doi.org/10.3354/ame037033","http://dx.doi.org/10.3354/ame037033")</f>
        <v>http://dx.doi.org/10.3354/ame037033</v>
      </c>
      <c r="BG158" t="s">
        <v>74</v>
      </c>
      <c r="BH158" t="s">
        <v>74</v>
      </c>
      <c r="BI158">
        <v>13</v>
      </c>
      <c r="BJ158" t="s">
        <v>515</v>
      </c>
      <c r="BK158" t="s">
        <v>139</v>
      </c>
      <c r="BL158" t="s">
        <v>516</v>
      </c>
      <c r="BM158" t="s">
        <v>2569</v>
      </c>
      <c r="BN158" t="s">
        <v>74</v>
      </c>
      <c r="BO158" t="s">
        <v>273</v>
      </c>
      <c r="BP158" t="s">
        <v>74</v>
      </c>
      <c r="BQ158" t="s">
        <v>74</v>
      </c>
      <c r="BR158" t="s">
        <v>98</v>
      </c>
      <c r="BS158" t="s">
        <v>2570</v>
      </c>
      <c r="BT158" t="str">
        <f>HYPERLINK("https%3A%2F%2Fwww.webofscience.com%2Fwos%2Fwoscc%2Ffull-record%2FWOS:000225336500004","View Full Record in Web of Science")</f>
        <v>View Full Record in Web of Science</v>
      </c>
    </row>
    <row r="159" spans="1:72" x14ac:dyDescent="0.15">
      <c r="A159" t="s">
        <v>122</v>
      </c>
      <c r="B159" t="s">
        <v>2571</v>
      </c>
      <c r="C159" t="s">
        <v>74</v>
      </c>
      <c r="D159" t="s">
        <v>74</v>
      </c>
      <c r="E159" t="s">
        <v>74</v>
      </c>
      <c r="F159" t="s">
        <v>2571</v>
      </c>
      <c r="G159" t="s">
        <v>74</v>
      </c>
      <c r="H159" t="s">
        <v>74</v>
      </c>
      <c r="I159" t="s">
        <v>2572</v>
      </c>
      <c r="J159" t="s">
        <v>2573</v>
      </c>
      <c r="K159" t="s">
        <v>74</v>
      </c>
      <c r="L159" t="s">
        <v>74</v>
      </c>
      <c r="M159" t="s">
        <v>79</v>
      </c>
      <c r="N159" t="s">
        <v>126</v>
      </c>
      <c r="O159" t="s">
        <v>74</v>
      </c>
      <c r="P159" t="s">
        <v>74</v>
      </c>
      <c r="Q159" t="s">
        <v>74</v>
      </c>
      <c r="R159" t="s">
        <v>74</v>
      </c>
      <c r="S159" t="s">
        <v>74</v>
      </c>
      <c r="T159" t="s">
        <v>74</v>
      </c>
      <c r="U159" t="s">
        <v>74</v>
      </c>
      <c r="V159" t="s">
        <v>2574</v>
      </c>
      <c r="W159" t="s">
        <v>2575</v>
      </c>
      <c r="X159" t="s">
        <v>2576</v>
      </c>
      <c r="Y159" t="s">
        <v>2577</v>
      </c>
      <c r="Z159" t="s">
        <v>2578</v>
      </c>
      <c r="AA159" t="s">
        <v>74</v>
      </c>
      <c r="AB159" t="s">
        <v>74</v>
      </c>
      <c r="AC159" t="s">
        <v>74</v>
      </c>
      <c r="AD159" t="s">
        <v>74</v>
      </c>
      <c r="AE159" t="s">
        <v>74</v>
      </c>
      <c r="AF159" t="s">
        <v>74</v>
      </c>
      <c r="AG159">
        <v>5</v>
      </c>
      <c r="AH159">
        <v>9</v>
      </c>
      <c r="AI159">
        <v>10</v>
      </c>
      <c r="AJ159">
        <v>0</v>
      </c>
      <c r="AK159">
        <v>6</v>
      </c>
      <c r="AL159" t="s">
        <v>2579</v>
      </c>
      <c r="AM159" t="s">
        <v>2580</v>
      </c>
      <c r="AN159" t="s">
        <v>2581</v>
      </c>
      <c r="AO159" t="s">
        <v>2582</v>
      </c>
      <c r="AP159" t="s">
        <v>74</v>
      </c>
      <c r="AQ159" t="s">
        <v>74</v>
      </c>
      <c r="AR159" t="s">
        <v>2573</v>
      </c>
      <c r="AS159" t="s">
        <v>2583</v>
      </c>
      <c r="AT159" t="s">
        <v>2584</v>
      </c>
      <c r="AU159">
        <v>2004</v>
      </c>
      <c r="AV159" t="s">
        <v>74</v>
      </c>
      <c r="AW159" t="s">
        <v>74</v>
      </c>
      <c r="AX159" t="s">
        <v>74</v>
      </c>
      <c r="AY159">
        <v>13</v>
      </c>
      <c r="AZ159" t="s">
        <v>74</v>
      </c>
      <c r="BA159" t="s">
        <v>74</v>
      </c>
      <c r="BB159">
        <v>35</v>
      </c>
      <c r="BC159">
        <v>38</v>
      </c>
      <c r="BD159" t="s">
        <v>74</v>
      </c>
      <c r="BE159" t="s">
        <v>74</v>
      </c>
      <c r="BF159" t="s">
        <v>74</v>
      </c>
      <c r="BG159" t="s">
        <v>74</v>
      </c>
      <c r="BH159" t="s">
        <v>74</v>
      </c>
      <c r="BI159">
        <v>4</v>
      </c>
      <c r="BJ159" t="s">
        <v>2585</v>
      </c>
      <c r="BK159" t="s">
        <v>139</v>
      </c>
      <c r="BL159" t="s">
        <v>2586</v>
      </c>
      <c r="BM159" t="s">
        <v>2587</v>
      </c>
      <c r="BN159">
        <v>15575181</v>
      </c>
      <c r="BO159" t="s">
        <v>74</v>
      </c>
      <c r="BP159" t="s">
        <v>74</v>
      </c>
      <c r="BQ159" t="s">
        <v>74</v>
      </c>
      <c r="BR159" t="s">
        <v>98</v>
      </c>
      <c r="BS159" t="s">
        <v>2588</v>
      </c>
      <c r="BT159" t="str">
        <f>HYPERLINK("https%3A%2F%2Fwww.webofscience.com%2Fwos%2Fwoscc%2Ffull-record%2FWOS:000225058700007","View Full Record in Web of Science")</f>
        <v>View Full Record in Web of Science</v>
      </c>
    </row>
    <row r="160" spans="1:72" x14ac:dyDescent="0.15">
      <c r="A160" t="s">
        <v>122</v>
      </c>
      <c r="B160" t="s">
        <v>2589</v>
      </c>
      <c r="C160" t="s">
        <v>74</v>
      </c>
      <c r="D160" t="s">
        <v>74</v>
      </c>
      <c r="E160" t="s">
        <v>74</v>
      </c>
      <c r="F160" t="s">
        <v>2589</v>
      </c>
      <c r="G160" t="s">
        <v>74</v>
      </c>
      <c r="H160" t="s">
        <v>74</v>
      </c>
      <c r="I160" t="s">
        <v>2590</v>
      </c>
      <c r="J160" t="s">
        <v>2591</v>
      </c>
      <c r="K160" t="s">
        <v>74</v>
      </c>
      <c r="L160" t="s">
        <v>74</v>
      </c>
      <c r="M160" t="s">
        <v>79</v>
      </c>
      <c r="N160" t="s">
        <v>126</v>
      </c>
      <c r="O160" t="s">
        <v>74</v>
      </c>
      <c r="P160" t="s">
        <v>74</v>
      </c>
      <c r="Q160" t="s">
        <v>74</v>
      </c>
      <c r="R160" t="s">
        <v>74</v>
      </c>
      <c r="S160" t="s">
        <v>74</v>
      </c>
      <c r="T160" t="s">
        <v>74</v>
      </c>
      <c r="U160" t="s">
        <v>2592</v>
      </c>
      <c r="V160" t="s">
        <v>2593</v>
      </c>
      <c r="W160" t="s">
        <v>2594</v>
      </c>
      <c r="X160" t="s">
        <v>2595</v>
      </c>
      <c r="Y160" t="s">
        <v>2596</v>
      </c>
      <c r="Z160" t="s">
        <v>2597</v>
      </c>
      <c r="AA160" t="s">
        <v>2598</v>
      </c>
      <c r="AB160" t="s">
        <v>2599</v>
      </c>
      <c r="AC160" t="s">
        <v>74</v>
      </c>
      <c r="AD160" t="s">
        <v>74</v>
      </c>
      <c r="AE160" t="s">
        <v>74</v>
      </c>
      <c r="AF160" t="s">
        <v>74</v>
      </c>
      <c r="AG160">
        <v>41</v>
      </c>
      <c r="AH160">
        <v>39</v>
      </c>
      <c r="AI160">
        <v>49</v>
      </c>
      <c r="AJ160">
        <v>0</v>
      </c>
      <c r="AK160">
        <v>18</v>
      </c>
      <c r="AL160" t="s">
        <v>2600</v>
      </c>
      <c r="AM160" t="s">
        <v>2601</v>
      </c>
      <c r="AN160" t="s">
        <v>2602</v>
      </c>
      <c r="AO160" t="s">
        <v>2603</v>
      </c>
      <c r="AP160" t="s">
        <v>74</v>
      </c>
      <c r="AQ160" t="s">
        <v>74</v>
      </c>
      <c r="AR160" t="s">
        <v>2604</v>
      </c>
      <c r="AS160" t="s">
        <v>2605</v>
      </c>
      <c r="AT160" t="s">
        <v>2584</v>
      </c>
      <c r="AU160">
        <v>2004</v>
      </c>
      <c r="AV160">
        <v>36</v>
      </c>
      <c r="AW160">
        <v>4</v>
      </c>
      <c r="AX160" t="s">
        <v>74</v>
      </c>
      <c r="AY160" t="s">
        <v>74</v>
      </c>
      <c r="AZ160" t="s">
        <v>74</v>
      </c>
      <c r="BA160" t="s">
        <v>74</v>
      </c>
      <c r="BB160">
        <v>379</v>
      </c>
      <c r="BC160">
        <v>389</v>
      </c>
      <c r="BD160" t="s">
        <v>74</v>
      </c>
      <c r="BE160" t="s">
        <v>2606</v>
      </c>
      <c r="BF160" t="str">
        <f>HYPERLINK("http://dx.doi.org/10.1657/1523-0430(2004)036[0379:IEAAFC]2.0.CO;2","http://dx.doi.org/10.1657/1523-0430(2004)036[0379:IEAAFC]2.0.CO;2")</f>
        <v>http://dx.doi.org/10.1657/1523-0430(2004)036[0379:IEAAFC]2.0.CO;2</v>
      </c>
      <c r="BG160" t="s">
        <v>74</v>
      </c>
      <c r="BH160" t="s">
        <v>74</v>
      </c>
      <c r="BI160">
        <v>11</v>
      </c>
      <c r="BJ160" t="s">
        <v>2607</v>
      </c>
      <c r="BK160" t="s">
        <v>139</v>
      </c>
      <c r="BL160" t="s">
        <v>1557</v>
      </c>
      <c r="BM160" t="s">
        <v>2608</v>
      </c>
      <c r="BN160" t="s">
        <v>74</v>
      </c>
      <c r="BO160" t="s">
        <v>988</v>
      </c>
      <c r="BP160" t="s">
        <v>74</v>
      </c>
      <c r="BQ160" t="s">
        <v>74</v>
      </c>
      <c r="BR160" t="s">
        <v>98</v>
      </c>
      <c r="BS160" t="s">
        <v>2609</v>
      </c>
      <c r="BT160" t="str">
        <f>HYPERLINK("https%3A%2F%2Fwww.webofscience.com%2Fwos%2Fwoscc%2Ffull-record%2FWOS:000227702800001","View Full Record in Web of Science")</f>
        <v>View Full Record in Web of Science</v>
      </c>
    </row>
    <row r="161" spans="1:72" x14ac:dyDescent="0.15">
      <c r="A161" t="s">
        <v>122</v>
      </c>
      <c r="B161" t="s">
        <v>2610</v>
      </c>
      <c r="C161" t="s">
        <v>74</v>
      </c>
      <c r="D161" t="s">
        <v>74</v>
      </c>
      <c r="E161" t="s">
        <v>74</v>
      </c>
      <c r="F161" t="s">
        <v>2610</v>
      </c>
      <c r="G161" t="s">
        <v>74</v>
      </c>
      <c r="H161" t="s">
        <v>74</v>
      </c>
      <c r="I161" t="s">
        <v>2611</v>
      </c>
      <c r="J161" t="s">
        <v>2591</v>
      </c>
      <c r="K161" t="s">
        <v>74</v>
      </c>
      <c r="L161" t="s">
        <v>74</v>
      </c>
      <c r="M161" t="s">
        <v>79</v>
      </c>
      <c r="N161" t="s">
        <v>126</v>
      </c>
      <c r="O161" t="s">
        <v>74</v>
      </c>
      <c r="P161" t="s">
        <v>74</v>
      </c>
      <c r="Q161" t="s">
        <v>74</v>
      </c>
      <c r="R161" t="s">
        <v>74</v>
      </c>
      <c r="S161" t="s">
        <v>74</v>
      </c>
      <c r="T161" t="s">
        <v>74</v>
      </c>
      <c r="U161" t="s">
        <v>2612</v>
      </c>
      <c r="V161" t="s">
        <v>2613</v>
      </c>
      <c r="W161" t="s">
        <v>2614</v>
      </c>
      <c r="X161" t="s">
        <v>2615</v>
      </c>
      <c r="Y161" t="s">
        <v>2616</v>
      </c>
      <c r="Z161" t="s">
        <v>2617</v>
      </c>
      <c r="AA161" t="s">
        <v>74</v>
      </c>
      <c r="AB161" t="s">
        <v>2618</v>
      </c>
      <c r="AC161" t="s">
        <v>74</v>
      </c>
      <c r="AD161" t="s">
        <v>74</v>
      </c>
      <c r="AE161" t="s">
        <v>74</v>
      </c>
      <c r="AF161" t="s">
        <v>74</v>
      </c>
      <c r="AG161">
        <v>32</v>
      </c>
      <c r="AH161">
        <v>49</v>
      </c>
      <c r="AI161">
        <v>57</v>
      </c>
      <c r="AJ161">
        <v>1</v>
      </c>
      <c r="AK161">
        <v>51</v>
      </c>
      <c r="AL161" t="s">
        <v>1644</v>
      </c>
      <c r="AM161" t="s">
        <v>1645</v>
      </c>
      <c r="AN161" t="s">
        <v>1646</v>
      </c>
      <c r="AO161" t="s">
        <v>2603</v>
      </c>
      <c r="AP161" t="s">
        <v>2619</v>
      </c>
      <c r="AQ161" t="s">
        <v>74</v>
      </c>
      <c r="AR161" t="s">
        <v>2604</v>
      </c>
      <c r="AS161" t="s">
        <v>2605</v>
      </c>
      <c r="AT161" t="s">
        <v>2584</v>
      </c>
      <c r="AU161">
        <v>2004</v>
      </c>
      <c r="AV161">
        <v>36</v>
      </c>
      <c r="AW161">
        <v>4</v>
      </c>
      <c r="AX161" t="s">
        <v>74</v>
      </c>
      <c r="AY161" t="s">
        <v>74</v>
      </c>
      <c r="AZ161" t="s">
        <v>74</v>
      </c>
      <c r="BA161" t="s">
        <v>74</v>
      </c>
      <c r="BB161">
        <v>390</v>
      </c>
      <c r="BC161">
        <v>394</v>
      </c>
      <c r="BD161" t="s">
        <v>74</v>
      </c>
      <c r="BE161" t="s">
        <v>2620</v>
      </c>
      <c r="BF161" t="str">
        <f>HYPERLINK("http://dx.doi.org/10.1657/1523-0430(2004)036[0390:CWPSIH]2.0.CO;2","http://dx.doi.org/10.1657/1523-0430(2004)036[0390:CWPSIH]2.0.CO;2")</f>
        <v>http://dx.doi.org/10.1657/1523-0430(2004)036[0390:CWPSIH]2.0.CO;2</v>
      </c>
      <c r="BG161" t="s">
        <v>74</v>
      </c>
      <c r="BH161" t="s">
        <v>74</v>
      </c>
      <c r="BI161">
        <v>5</v>
      </c>
      <c r="BJ161" t="s">
        <v>2607</v>
      </c>
      <c r="BK161" t="s">
        <v>139</v>
      </c>
      <c r="BL161" t="s">
        <v>1557</v>
      </c>
      <c r="BM161" t="s">
        <v>2608</v>
      </c>
      <c r="BN161" t="s">
        <v>74</v>
      </c>
      <c r="BO161" t="s">
        <v>2621</v>
      </c>
      <c r="BP161" t="s">
        <v>74</v>
      </c>
      <c r="BQ161" t="s">
        <v>74</v>
      </c>
      <c r="BR161" t="s">
        <v>98</v>
      </c>
      <c r="BS161" t="s">
        <v>2622</v>
      </c>
      <c r="BT161" t="str">
        <f>HYPERLINK("https%3A%2F%2Fwww.webofscience.com%2Fwos%2Fwoscc%2Ffull-record%2FWOS:000227702800002","View Full Record in Web of Science")</f>
        <v>View Full Record in Web of Science</v>
      </c>
    </row>
    <row r="162" spans="1:72" x14ac:dyDescent="0.15">
      <c r="A162" t="s">
        <v>122</v>
      </c>
      <c r="B162" t="s">
        <v>2623</v>
      </c>
      <c r="C162" t="s">
        <v>74</v>
      </c>
      <c r="D162" t="s">
        <v>74</v>
      </c>
      <c r="E162" t="s">
        <v>74</v>
      </c>
      <c r="F162" t="s">
        <v>2623</v>
      </c>
      <c r="G162" t="s">
        <v>74</v>
      </c>
      <c r="H162" t="s">
        <v>74</v>
      </c>
      <c r="I162" t="s">
        <v>2624</v>
      </c>
      <c r="J162" t="s">
        <v>2591</v>
      </c>
      <c r="K162" t="s">
        <v>74</v>
      </c>
      <c r="L162" t="s">
        <v>74</v>
      </c>
      <c r="M162" t="s">
        <v>79</v>
      </c>
      <c r="N162" t="s">
        <v>126</v>
      </c>
      <c r="O162" t="s">
        <v>74</v>
      </c>
      <c r="P162" t="s">
        <v>74</v>
      </c>
      <c r="Q162" t="s">
        <v>74</v>
      </c>
      <c r="R162" t="s">
        <v>74</v>
      </c>
      <c r="S162" t="s">
        <v>74</v>
      </c>
      <c r="T162" t="s">
        <v>74</v>
      </c>
      <c r="U162" t="s">
        <v>2625</v>
      </c>
      <c r="V162" t="s">
        <v>2626</v>
      </c>
      <c r="W162" t="s">
        <v>2627</v>
      </c>
      <c r="X162" t="s">
        <v>2628</v>
      </c>
      <c r="Y162" t="s">
        <v>2629</v>
      </c>
      <c r="Z162" t="s">
        <v>2630</v>
      </c>
      <c r="AA162" t="s">
        <v>2631</v>
      </c>
      <c r="AB162" t="s">
        <v>2632</v>
      </c>
      <c r="AC162" t="s">
        <v>74</v>
      </c>
      <c r="AD162" t="s">
        <v>74</v>
      </c>
      <c r="AE162" t="s">
        <v>74</v>
      </c>
      <c r="AF162" t="s">
        <v>74</v>
      </c>
      <c r="AG162">
        <v>35</v>
      </c>
      <c r="AH162">
        <v>46</v>
      </c>
      <c r="AI162">
        <v>54</v>
      </c>
      <c r="AJ162">
        <v>0</v>
      </c>
      <c r="AK162">
        <v>58</v>
      </c>
      <c r="AL162" t="s">
        <v>1644</v>
      </c>
      <c r="AM162" t="s">
        <v>1645</v>
      </c>
      <c r="AN162" t="s">
        <v>1646</v>
      </c>
      <c r="AO162" t="s">
        <v>2603</v>
      </c>
      <c r="AP162" t="s">
        <v>2619</v>
      </c>
      <c r="AQ162" t="s">
        <v>74</v>
      </c>
      <c r="AR162" t="s">
        <v>2604</v>
      </c>
      <c r="AS162" t="s">
        <v>2605</v>
      </c>
      <c r="AT162" t="s">
        <v>2584</v>
      </c>
      <c r="AU162">
        <v>2004</v>
      </c>
      <c r="AV162">
        <v>36</v>
      </c>
      <c r="AW162">
        <v>4</v>
      </c>
      <c r="AX162" t="s">
        <v>74</v>
      </c>
      <c r="AY162" t="s">
        <v>74</v>
      </c>
      <c r="AZ162" t="s">
        <v>74</v>
      </c>
      <c r="BA162" t="s">
        <v>74</v>
      </c>
      <c r="BB162">
        <v>395</v>
      </c>
      <c r="BC162">
        <v>399</v>
      </c>
      <c r="BD162" t="s">
        <v>74</v>
      </c>
      <c r="BE162" t="s">
        <v>74</v>
      </c>
      <c r="BF162" t="s">
        <v>74</v>
      </c>
      <c r="BG162" t="s">
        <v>74</v>
      </c>
      <c r="BH162" t="s">
        <v>74</v>
      </c>
      <c r="BI162">
        <v>5</v>
      </c>
      <c r="BJ162" t="s">
        <v>2607</v>
      </c>
      <c r="BK162" t="s">
        <v>139</v>
      </c>
      <c r="BL162" t="s">
        <v>1557</v>
      </c>
      <c r="BM162" t="s">
        <v>2608</v>
      </c>
      <c r="BN162" t="s">
        <v>74</v>
      </c>
      <c r="BO162" t="s">
        <v>988</v>
      </c>
      <c r="BP162" t="s">
        <v>74</v>
      </c>
      <c r="BQ162" t="s">
        <v>74</v>
      </c>
      <c r="BR162" t="s">
        <v>98</v>
      </c>
      <c r="BS162" t="s">
        <v>2633</v>
      </c>
      <c r="BT162" t="str">
        <f>HYPERLINK("https%3A%2F%2Fwww.webofscience.com%2Fwos%2Fwoscc%2Ffull-record%2FWOS:000227702800003","View Full Record in Web of Science")</f>
        <v>View Full Record in Web of Science</v>
      </c>
    </row>
    <row r="163" spans="1:72" x14ac:dyDescent="0.15">
      <c r="A163" t="s">
        <v>122</v>
      </c>
      <c r="B163" t="s">
        <v>2634</v>
      </c>
      <c r="C163" t="s">
        <v>74</v>
      </c>
      <c r="D163" t="s">
        <v>74</v>
      </c>
      <c r="E163" t="s">
        <v>74</v>
      </c>
      <c r="F163" t="s">
        <v>2634</v>
      </c>
      <c r="G163" t="s">
        <v>74</v>
      </c>
      <c r="H163" t="s">
        <v>74</v>
      </c>
      <c r="I163" t="s">
        <v>2635</v>
      </c>
      <c r="J163" t="s">
        <v>2591</v>
      </c>
      <c r="K163" t="s">
        <v>74</v>
      </c>
      <c r="L163" t="s">
        <v>74</v>
      </c>
      <c r="M163" t="s">
        <v>79</v>
      </c>
      <c r="N163" t="s">
        <v>126</v>
      </c>
      <c r="O163" t="s">
        <v>74</v>
      </c>
      <c r="P163" t="s">
        <v>74</v>
      </c>
      <c r="Q163" t="s">
        <v>74</v>
      </c>
      <c r="R163" t="s">
        <v>74</v>
      </c>
      <c r="S163" t="s">
        <v>74</v>
      </c>
      <c r="T163" t="s">
        <v>74</v>
      </c>
      <c r="U163" t="s">
        <v>2636</v>
      </c>
      <c r="V163" t="s">
        <v>2637</v>
      </c>
      <c r="W163" t="s">
        <v>2638</v>
      </c>
      <c r="X163" t="s">
        <v>2639</v>
      </c>
      <c r="Y163" t="s">
        <v>2640</v>
      </c>
      <c r="Z163" t="s">
        <v>2641</v>
      </c>
      <c r="AA163" t="s">
        <v>74</v>
      </c>
      <c r="AB163" t="s">
        <v>74</v>
      </c>
      <c r="AC163" t="s">
        <v>74</v>
      </c>
      <c r="AD163" t="s">
        <v>74</v>
      </c>
      <c r="AE163" t="s">
        <v>74</v>
      </c>
      <c r="AF163" t="s">
        <v>74</v>
      </c>
      <c r="AG163">
        <v>52</v>
      </c>
      <c r="AH163">
        <v>15</v>
      </c>
      <c r="AI163">
        <v>17</v>
      </c>
      <c r="AJ163">
        <v>0</v>
      </c>
      <c r="AK163">
        <v>26</v>
      </c>
      <c r="AL163" t="s">
        <v>1644</v>
      </c>
      <c r="AM163" t="s">
        <v>1645</v>
      </c>
      <c r="AN163" t="s">
        <v>1646</v>
      </c>
      <c r="AO163" t="s">
        <v>2603</v>
      </c>
      <c r="AP163" t="s">
        <v>2619</v>
      </c>
      <c r="AQ163" t="s">
        <v>74</v>
      </c>
      <c r="AR163" t="s">
        <v>2604</v>
      </c>
      <c r="AS163" t="s">
        <v>2605</v>
      </c>
      <c r="AT163" t="s">
        <v>2584</v>
      </c>
      <c r="AU163">
        <v>2004</v>
      </c>
      <c r="AV163">
        <v>36</v>
      </c>
      <c r="AW163">
        <v>4</v>
      </c>
      <c r="AX163" t="s">
        <v>74</v>
      </c>
      <c r="AY163" t="s">
        <v>74</v>
      </c>
      <c r="AZ163" t="s">
        <v>74</v>
      </c>
      <c r="BA163" t="s">
        <v>74</v>
      </c>
      <c r="BB163">
        <v>400</v>
      </c>
      <c r="BC163">
        <v>406</v>
      </c>
      <c r="BD163" t="s">
        <v>74</v>
      </c>
      <c r="BE163" t="s">
        <v>2642</v>
      </c>
      <c r="BF163" t="str">
        <f>HYPERLINK("http://dx.doi.org/10.1657/1523-0430(2004)036[0400:CGOBSP]2.0.CO;2","http://dx.doi.org/10.1657/1523-0430(2004)036[0400:CGOBSP]2.0.CO;2")</f>
        <v>http://dx.doi.org/10.1657/1523-0430(2004)036[0400:CGOBSP]2.0.CO;2</v>
      </c>
      <c r="BG163" t="s">
        <v>74</v>
      </c>
      <c r="BH163" t="s">
        <v>74</v>
      </c>
      <c r="BI163">
        <v>7</v>
      </c>
      <c r="BJ163" t="s">
        <v>2607</v>
      </c>
      <c r="BK163" t="s">
        <v>139</v>
      </c>
      <c r="BL163" t="s">
        <v>1557</v>
      </c>
      <c r="BM163" t="s">
        <v>2608</v>
      </c>
      <c r="BN163" t="s">
        <v>74</v>
      </c>
      <c r="BO163" t="s">
        <v>2621</v>
      </c>
      <c r="BP163" t="s">
        <v>74</v>
      </c>
      <c r="BQ163" t="s">
        <v>74</v>
      </c>
      <c r="BR163" t="s">
        <v>98</v>
      </c>
      <c r="BS163" t="s">
        <v>2643</v>
      </c>
      <c r="BT163" t="str">
        <f>HYPERLINK("https%3A%2F%2Fwww.webofscience.com%2Fwos%2Fwoscc%2Ffull-record%2FWOS:000227702800004","View Full Record in Web of Science")</f>
        <v>View Full Record in Web of Science</v>
      </c>
    </row>
    <row r="164" spans="1:72" x14ac:dyDescent="0.15">
      <c r="A164" t="s">
        <v>122</v>
      </c>
      <c r="B164" t="s">
        <v>2644</v>
      </c>
      <c r="C164" t="s">
        <v>74</v>
      </c>
      <c r="D164" t="s">
        <v>74</v>
      </c>
      <c r="E164" t="s">
        <v>74</v>
      </c>
      <c r="F164" t="s">
        <v>2644</v>
      </c>
      <c r="G164" t="s">
        <v>74</v>
      </c>
      <c r="H164" t="s">
        <v>74</v>
      </c>
      <c r="I164" t="s">
        <v>2645</v>
      </c>
      <c r="J164" t="s">
        <v>2591</v>
      </c>
      <c r="K164" t="s">
        <v>74</v>
      </c>
      <c r="L164" t="s">
        <v>74</v>
      </c>
      <c r="M164" t="s">
        <v>79</v>
      </c>
      <c r="N164" t="s">
        <v>126</v>
      </c>
      <c r="O164" t="s">
        <v>74</v>
      </c>
      <c r="P164" t="s">
        <v>74</v>
      </c>
      <c r="Q164" t="s">
        <v>74</v>
      </c>
      <c r="R164" t="s">
        <v>74</v>
      </c>
      <c r="S164" t="s">
        <v>74</v>
      </c>
      <c r="T164" t="s">
        <v>74</v>
      </c>
      <c r="U164" t="s">
        <v>2646</v>
      </c>
      <c r="V164" t="s">
        <v>2647</v>
      </c>
      <c r="W164" t="s">
        <v>2648</v>
      </c>
      <c r="X164" t="s">
        <v>2649</v>
      </c>
      <c r="Y164" t="s">
        <v>2650</v>
      </c>
      <c r="Z164" t="s">
        <v>2651</v>
      </c>
      <c r="AA164" t="s">
        <v>74</v>
      </c>
      <c r="AB164" t="s">
        <v>2652</v>
      </c>
      <c r="AC164" t="s">
        <v>74</v>
      </c>
      <c r="AD164" t="s">
        <v>74</v>
      </c>
      <c r="AE164" t="s">
        <v>74</v>
      </c>
      <c r="AF164" t="s">
        <v>74</v>
      </c>
      <c r="AG164">
        <v>71</v>
      </c>
      <c r="AH164">
        <v>21</v>
      </c>
      <c r="AI164">
        <v>22</v>
      </c>
      <c r="AJ164">
        <v>0</v>
      </c>
      <c r="AK164">
        <v>2</v>
      </c>
      <c r="AL164" t="s">
        <v>2600</v>
      </c>
      <c r="AM164" t="s">
        <v>2601</v>
      </c>
      <c r="AN164" t="s">
        <v>2602</v>
      </c>
      <c r="AO164" t="s">
        <v>2603</v>
      </c>
      <c r="AP164" t="s">
        <v>2619</v>
      </c>
      <c r="AQ164" t="s">
        <v>74</v>
      </c>
      <c r="AR164" t="s">
        <v>2604</v>
      </c>
      <c r="AS164" t="s">
        <v>2605</v>
      </c>
      <c r="AT164" t="s">
        <v>2584</v>
      </c>
      <c r="AU164">
        <v>2004</v>
      </c>
      <c r="AV164">
        <v>36</v>
      </c>
      <c r="AW164">
        <v>4</v>
      </c>
      <c r="AX164" t="s">
        <v>74</v>
      </c>
      <c r="AY164" t="s">
        <v>74</v>
      </c>
      <c r="AZ164" t="s">
        <v>74</v>
      </c>
      <c r="BA164" t="s">
        <v>74</v>
      </c>
      <c r="BB164">
        <v>407</v>
      </c>
      <c r="BC164">
        <v>418</v>
      </c>
      <c r="BD164" t="s">
        <v>74</v>
      </c>
      <c r="BE164" t="s">
        <v>2653</v>
      </c>
      <c r="BF164" t="str">
        <f>HYPERLINK("http://dx.doi.org/10.1657/1523-0430(2004)036[0407:CRSGCF]2.0.CO;2","http://dx.doi.org/10.1657/1523-0430(2004)036[0407:CRSGCF]2.0.CO;2")</f>
        <v>http://dx.doi.org/10.1657/1523-0430(2004)036[0407:CRSGCF]2.0.CO;2</v>
      </c>
      <c r="BG164" t="s">
        <v>74</v>
      </c>
      <c r="BH164" t="s">
        <v>74</v>
      </c>
      <c r="BI164">
        <v>12</v>
      </c>
      <c r="BJ164" t="s">
        <v>2607</v>
      </c>
      <c r="BK164" t="s">
        <v>139</v>
      </c>
      <c r="BL164" t="s">
        <v>1557</v>
      </c>
      <c r="BM164" t="s">
        <v>2608</v>
      </c>
      <c r="BN164" t="s">
        <v>74</v>
      </c>
      <c r="BO164" t="s">
        <v>2621</v>
      </c>
      <c r="BP164" t="s">
        <v>74</v>
      </c>
      <c r="BQ164" t="s">
        <v>74</v>
      </c>
      <c r="BR164" t="s">
        <v>98</v>
      </c>
      <c r="BS164" t="s">
        <v>2654</v>
      </c>
      <c r="BT164" t="str">
        <f>HYPERLINK("https%3A%2F%2Fwww.webofscience.com%2Fwos%2Fwoscc%2Ffull-record%2FWOS:000227702800005","View Full Record in Web of Science")</f>
        <v>View Full Record in Web of Science</v>
      </c>
    </row>
    <row r="165" spans="1:72" x14ac:dyDescent="0.15">
      <c r="A165" t="s">
        <v>122</v>
      </c>
      <c r="B165" t="s">
        <v>2655</v>
      </c>
      <c r="C165" t="s">
        <v>74</v>
      </c>
      <c r="D165" t="s">
        <v>74</v>
      </c>
      <c r="E165" t="s">
        <v>74</v>
      </c>
      <c r="F165" t="s">
        <v>2655</v>
      </c>
      <c r="G165" t="s">
        <v>74</v>
      </c>
      <c r="H165" t="s">
        <v>74</v>
      </c>
      <c r="I165" t="s">
        <v>2656</v>
      </c>
      <c r="J165" t="s">
        <v>2591</v>
      </c>
      <c r="K165" t="s">
        <v>74</v>
      </c>
      <c r="L165" t="s">
        <v>74</v>
      </c>
      <c r="M165" t="s">
        <v>79</v>
      </c>
      <c r="N165" t="s">
        <v>126</v>
      </c>
      <c r="O165" t="s">
        <v>74</v>
      </c>
      <c r="P165" t="s">
        <v>74</v>
      </c>
      <c r="Q165" t="s">
        <v>74</v>
      </c>
      <c r="R165" t="s">
        <v>74</v>
      </c>
      <c r="S165" t="s">
        <v>74</v>
      </c>
      <c r="T165" t="s">
        <v>74</v>
      </c>
      <c r="U165" t="s">
        <v>2657</v>
      </c>
      <c r="V165" t="s">
        <v>2658</v>
      </c>
      <c r="W165" t="s">
        <v>2659</v>
      </c>
      <c r="X165" t="s">
        <v>2660</v>
      </c>
      <c r="Y165" t="s">
        <v>2661</v>
      </c>
      <c r="Z165" t="s">
        <v>2662</v>
      </c>
      <c r="AA165" t="s">
        <v>74</v>
      </c>
      <c r="AB165" t="s">
        <v>2663</v>
      </c>
      <c r="AC165" t="s">
        <v>74</v>
      </c>
      <c r="AD165" t="s">
        <v>74</v>
      </c>
      <c r="AE165" t="s">
        <v>74</v>
      </c>
      <c r="AF165" t="s">
        <v>74</v>
      </c>
      <c r="AG165">
        <v>73</v>
      </c>
      <c r="AH165">
        <v>66</v>
      </c>
      <c r="AI165">
        <v>77</v>
      </c>
      <c r="AJ165">
        <v>7</v>
      </c>
      <c r="AK165">
        <v>62</v>
      </c>
      <c r="AL165" t="s">
        <v>1644</v>
      </c>
      <c r="AM165" t="s">
        <v>1645</v>
      </c>
      <c r="AN165" t="s">
        <v>1646</v>
      </c>
      <c r="AO165" t="s">
        <v>2603</v>
      </c>
      <c r="AP165" t="s">
        <v>2619</v>
      </c>
      <c r="AQ165" t="s">
        <v>74</v>
      </c>
      <c r="AR165" t="s">
        <v>2604</v>
      </c>
      <c r="AS165" t="s">
        <v>2605</v>
      </c>
      <c r="AT165" t="s">
        <v>2584</v>
      </c>
      <c r="AU165">
        <v>2004</v>
      </c>
      <c r="AV165">
        <v>36</v>
      </c>
      <c r="AW165">
        <v>4</v>
      </c>
      <c r="AX165" t="s">
        <v>74</v>
      </c>
      <c r="AY165" t="s">
        <v>74</v>
      </c>
      <c r="AZ165" t="s">
        <v>74</v>
      </c>
      <c r="BA165" t="s">
        <v>74</v>
      </c>
      <c r="BB165">
        <v>419</v>
      </c>
      <c r="BC165">
        <v>427</v>
      </c>
      <c r="BD165" t="s">
        <v>74</v>
      </c>
      <c r="BE165" t="s">
        <v>2664</v>
      </c>
      <c r="BF165" t="str">
        <f>HYPERLINK("http://dx.doi.org/10.1657/1523-0430(2004)036[0419:GTUSPW]2.0.CO;2","http://dx.doi.org/10.1657/1523-0430(2004)036[0419:GTUSPW]2.0.CO;2")</f>
        <v>http://dx.doi.org/10.1657/1523-0430(2004)036[0419:GTUSPW]2.0.CO;2</v>
      </c>
      <c r="BG165" t="s">
        <v>74</v>
      </c>
      <c r="BH165" t="s">
        <v>74</v>
      </c>
      <c r="BI165">
        <v>9</v>
      </c>
      <c r="BJ165" t="s">
        <v>2607</v>
      </c>
      <c r="BK165" t="s">
        <v>139</v>
      </c>
      <c r="BL165" t="s">
        <v>1557</v>
      </c>
      <c r="BM165" t="s">
        <v>2608</v>
      </c>
      <c r="BN165" t="s">
        <v>74</v>
      </c>
      <c r="BO165" t="s">
        <v>2665</v>
      </c>
      <c r="BP165" t="s">
        <v>74</v>
      </c>
      <c r="BQ165" t="s">
        <v>74</v>
      </c>
      <c r="BR165" t="s">
        <v>98</v>
      </c>
      <c r="BS165" t="s">
        <v>2666</v>
      </c>
      <c r="BT165" t="str">
        <f>HYPERLINK("https%3A%2F%2Fwww.webofscience.com%2Fwos%2Fwoscc%2Ffull-record%2FWOS:000227702800006","View Full Record in Web of Science")</f>
        <v>View Full Record in Web of Science</v>
      </c>
    </row>
    <row r="166" spans="1:72" x14ac:dyDescent="0.15">
      <c r="A166" t="s">
        <v>122</v>
      </c>
      <c r="B166" t="s">
        <v>2667</v>
      </c>
      <c r="C166" t="s">
        <v>74</v>
      </c>
      <c r="D166" t="s">
        <v>74</v>
      </c>
      <c r="E166" t="s">
        <v>74</v>
      </c>
      <c r="F166" t="s">
        <v>2667</v>
      </c>
      <c r="G166" t="s">
        <v>74</v>
      </c>
      <c r="H166" t="s">
        <v>74</v>
      </c>
      <c r="I166" t="s">
        <v>2668</v>
      </c>
      <c r="J166" t="s">
        <v>2591</v>
      </c>
      <c r="K166" t="s">
        <v>74</v>
      </c>
      <c r="L166" t="s">
        <v>74</v>
      </c>
      <c r="M166" t="s">
        <v>79</v>
      </c>
      <c r="N166" t="s">
        <v>126</v>
      </c>
      <c r="O166" t="s">
        <v>74</v>
      </c>
      <c r="P166" t="s">
        <v>74</v>
      </c>
      <c r="Q166" t="s">
        <v>74</v>
      </c>
      <c r="R166" t="s">
        <v>74</v>
      </c>
      <c r="S166" t="s">
        <v>74</v>
      </c>
      <c r="T166" t="s">
        <v>74</v>
      </c>
      <c r="U166" t="s">
        <v>2669</v>
      </c>
      <c r="V166" t="s">
        <v>2670</v>
      </c>
      <c r="W166" t="s">
        <v>2671</v>
      </c>
      <c r="X166" t="s">
        <v>2672</v>
      </c>
      <c r="Y166" t="s">
        <v>2673</v>
      </c>
      <c r="Z166" t="s">
        <v>2674</v>
      </c>
      <c r="AA166" t="s">
        <v>2675</v>
      </c>
      <c r="AB166" t="s">
        <v>2676</v>
      </c>
      <c r="AC166" t="s">
        <v>74</v>
      </c>
      <c r="AD166" t="s">
        <v>74</v>
      </c>
      <c r="AE166" t="s">
        <v>74</v>
      </c>
      <c r="AF166" t="s">
        <v>74</v>
      </c>
      <c r="AG166">
        <v>42</v>
      </c>
      <c r="AH166">
        <v>13</v>
      </c>
      <c r="AI166">
        <v>14</v>
      </c>
      <c r="AJ166">
        <v>0</v>
      </c>
      <c r="AK166">
        <v>19</v>
      </c>
      <c r="AL166" t="s">
        <v>2600</v>
      </c>
      <c r="AM166" t="s">
        <v>2601</v>
      </c>
      <c r="AN166" t="s">
        <v>2602</v>
      </c>
      <c r="AO166" t="s">
        <v>2603</v>
      </c>
      <c r="AP166" t="s">
        <v>74</v>
      </c>
      <c r="AQ166" t="s">
        <v>74</v>
      </c>
      <c r="AR166" t="s">
        <v>2604</v>
      </c>
      <c r="AS166" t="s">
        <v>2605</v>
      </c>
      <c r="AT166" t="s">
        <v>2584</v>
      </c>
      <c r="AU166">
        <v>2004</v>
      </c>
      <c r="AV166">
        <v>36</v>
      </c>
      <c r="AW166">
        <v>4</v>
      </c>
      <c r="AX166" t="s">
        <v>74</v>
      </c>
      <c r="AY166" t="s">
        <v>74</v>
      </c>
      <c r="AZ166" t="s">
        <v>74</v>
      </c>
      <c r="BA166" t="s">
        <v>74</v>
      </c>
      <c r="BB166">
        <v>428</v>
      </c>
      <c r="BC166">
        <v>435</v>
      </c>
      <c r="BD166" t="s">
        <v>74</v>
      </c>
      <c r="BE166" t="s">
        <v>2677</v>
      </c>
      <c r="BF166" t="str">
        <f>HYPERLINK("http://dx.doi.org/10.1657/1523-0430(2004)36[428:WCAPCS]2.0.CO;2","http://dx.doi.org/10.1657/1523-0430(2004)36[428:WCAPCS]2.0.CO;2")</f>
        <v>http://dx.doi.org/10.1657/1523-0430(2004)36[428:WCAPCS]2.0.CO;2</v>
      </c>
      <c r="BG166" t="s">
        <v>74</v>
      </c>
      <c r="BH166" t="s">
        <v>74</v>
      </c>
      <c r="BI166">
        <v>8</v>
      </c>
      <c r="BJ166" t="s">
        <v>2607</v>
      </c>
      <c r="BK166" t="s">
        <v>139</v>
      </c>
      <c r="BL166" t="s">
        <v>1557</v>
      </c>
      <c r="BM166" t="s">
        <v>2608</v>
      </c>
      <c r="BN166" t="s">
        <v>74</v>
      </c>
      <c r="BO166" t="s">
        <v>251</v>
      </c>
      <c r="BP166" t="s">
        <v>74</v>
      </c>
      <c r="BQ166" t="s">
        <v>74</v>
      </c>
      <c r="BR166" t="s">
        <v>98</v>
      </c>
      <c r="BS166" t="s">
        <v>2678</v>
      </c>
      <c r="BT166" t="str">
        <f>HYPERLINK("https%3A%2F%2Fwww.webofscience.com%2Fwos%2Fwoscc%2Ffull-record%2FWOS:000227702800007","View Full Record in Web of Science")</f>
        <v>View Full Record in Web of Science</v>
      </c>
    </row>
    <row r="167" spans="1:72" x14ac:dyDescent="0.15">
      <c r="A167" t="s">
        <v>122</v>
      </c>
      <c r="B167" t="s">
        <v>2679</v>
      </c>
      <c r="C167" t="s">
        <v>74</v>
      </c>
      <c r="D167" t="s">
        <v>74</v>
      </c>
      <c r="E167" t="s">
        <v>74</v>
      </c>
      <c r="F167" t="s">
        <v>2679</v>
      </c>
      <c r="G167" t="s">
        <v>74</v>
      </c>
      <c r="H167" t="s">
        <v>74</v>
      </c>
      <c r="I167" t="s">
        <v>2680</v>
      </c>
      <c r="J167" t="s">
        <v>2591</v>
      </c>
      <c r="K167" t="s">
        <v>74</v>
      </c>
      <c r="L167" t="s">
        <v>74</v>
      </c>
      <c r="M167" t="s">
        <v>79</v>
      </c>
      <c r="N167" t="s">
        <v>126</v>
      </c>
      <c r="O167" t="s">
        <v>74</v>
      </c>
      <c r="P167" t="s">
        <v>74</v>
      </c>
      <c r="Q167" t="s">
        <v>74</v>
      </c>
      <c r="R167" t="s">
        <v>74</v>
      </c>
      <c r="S167" t="s">
        <v>74</v>
      </c>
      <c r="T167" t="s">
        <v>74</v>
      </c>
      <c r="U167" t="s">
        <v>2681</v>
      </c>
      <c r="V167" t="s">
        <v>2682</v>
      </c>
      <c r="W167" t="s">
        <v>2683</v>
      </c>
      <c r="X167" t="s">
        <v>2684</v>
      </c>
      <c r="Y167" t="s">
        <v>2685</v>
      </c>
      <c r="Z167" t="s">
        <v>2686</v>
      </c>
      <c r="AA167" t="s">
        <v>74</v>
      </c>
      <c r="AB167" t="s">
        <v>74</v>
      </c>
      <c r="AC167" t="s">
        <v>74</v>
      </c>
      <c r="AD167" t="s">
        <v>74</v>
      </c>
      <c r="AE167" t="s">
        <v>74</v>
      </c>
      <c r="AF167" t="s">
        <v>74</v>
      </c>
      <c r="AG167">
        <v>54</v>
      </c>
      <c r="AH167">
        <v>34</v>
      </c>
      <c r="AI167">
        <v>36</v>
      </c>
      <c r="AJ167">
        <v>0</v>
      </c>
      <c r="AK167">
        <v>20</v>
      </c>
      <c r="AL167" t="s">
        <v>2600</v>
      </c>
      <c r="AM167" t="s">
        <v>2601</v>
      </c>
      <c r="AN167" t="s">
        <v>2602</v>
      </c>
      <c r="AO167" t="s">
        <v>2603</v>
      </c>
      <c r="AP167" t="s">
        <v>2619</v>
      </c>
      <c r="AQ167" t="s">
        <v>74</v>
      </c>
      <c r="AR167" t="s">
        <v>2604</v>
      </c>
      <c r="AS167" t="s">
        <v>2605</v>
      </c>
      <c r="AT167" t="s">
        <v>2584</v>
      </c>
      <c r="AU167">
        <v>2004</v>
      </c>
      <c r="AV167">
        <v>36</v>
      </c>
      <c r="AW167">
        <v>4</v>
      </c>
      <c r="AX167" t="s">
        <v>74</v>
      </c>
      <c r="AY167" t="s">
        <v>74</v>
      </c>
      <c r="AZ167" t="s">
        <v>74</v>
      </c>
      <c r="BA167" t="s">
        <v>74</v>
      </c>
      <c r="BB167">
        <v>436</v>
      </c>
      <c r="BC167">
        <v>445</v>
      </c>
      <c r="BD167" t="s">
        <v>74</v>
      </c>
      <c r="BE167" t="s">
        <v>2687</v>
      </c>
      <c r="BF167" t="str">
        <f>HYPERLINK("http://dx.doi.org/10.1657/1523-0430(2004)036[0436:EOSADO]2.0.CO;2","http://dx.doi.org/10.1657/1523-0430(2004)036[0436:EOSADO]2.0.CO;2")</f>
        <v>http://dx.doi.org/10.1657/1523-0430(2004)036[0436:EOSADO]2.0.CO;2</v>
      </c>
      <c r="BG167" t="s">
        <v>74</v>
      </c>
      <c r="BH167" t="s">
        <v>74</v>
      </c>
      <c r="BI167">
        <v>10</v>
      </c>
      <c r="BJ167" t="s">
        <v>2607</v>
      </c>
      <c r="BK167" t="s">
        <v>139</v>
      </c>
      <c r="BL167" t="s">
        <v>1557</v>
      </c>
      <c r="BM167" t="s">
        <v>2608</v>
      </c>
      <c r="BN167" t="s">
        <v>74</v>
      </c>
      <c r="BO167" t="s">
        <v>74</v>
      </c>
      <c r="BP167" t="s">
        <v>74</v>
      </c>
      <c r="BQ167" t="s">
        <v>74</v>
      </c>
      <c r="BR167" t="s">
        <v>98</v>
      </c>
      <c r="BS167" t="s">
        <v>2688</v>
      </c>
      <c r="BT167" t="str">
        <f>HYPERLINK("https%3A%2F%2Fwww.webofscience.com%2Fwos%2Fwoscc%2Ffull-record%2FWOS:000227702800008","View Full Record in Web of Science")</f>
        <v>View Full Record in Web of Science</v>
      </c>
    </row>
    <row r="168" spans="1:72" x14ac:dyDescent="0.15">
      <c r="A168" t="s">
        <v>122</v>
      </c>
      <c r="B168" t="s">
        <v>2689</v>
      </c>
      <c r="C168" t="s">
        <v>74</v>
      </c>
      <c r="D168" t="s">
        <v>74</v>
      </c>
      <c r="E168" t="s">
        <v>74</v>
      </c>
      <c r="F168" t="s">
        <v>2689</v>
      </c>
      <c r="G168" t="s">
        <v>74</v>
      </c>
      <c r="H168" t="s">
        <v>74</v>
      </c>
      <c r="I168" t="s">
        <v>2690</v>
      </c>
      <c r="J168" t="s">
        <v>2591</v>
      </c>
      <c r="K168" t="s">
        <v>74</v>
      </c>
      <c r="L168" t="s">
        <v>74</v>
      </c>
      <c r="M168" t="s">
        <v>79</v>
      </c>
      <c r="N168" t="s">
        <v>126</v>
      </c>
      <c r="O168" t="s">
        <v>74</v>
      </c>
      <c r="P168" t="s">
        <v>74</v>
      </c>
      <c r="Q168" t="s">
        <v>74</v>
      </c>
      <c r="R168" t="s">
        <v>74</v>
      </c>
      <c r="S168" t="s">
        <v>74</v>
      </c>
      <c r="T168" t="s">
        <v>74</v>
      </c>
      <c r="U168" t="s">
        <v>2691</v>
      </c>
      <c r="V168" t="s">
        <v>2692</v>
      </c>
      <c r="W168" t="s">
        <v>2693</v>
      </c>
      <c r="X168" t="s">
        <v>2694</v>
      </c>
      <c r="Y168" t="s">
        <v>2695</v>
      </c>
      <c r="Z168" t="s">
        <v>2696</v>
      </c>
      <c r="AA168" t="s">
        <v>2697</v>
      </c>
      <c r="AB168" t="s">
        <v>74</v>
      </c>
      <c r="AC168" t="s">
        <v>74</v>
      </c>
      <c r="AD168" t="s">
        <v>74</v>
      </c>
      <c r="AE168" t="s">
        <v>74</v>
      </c>
      <c r="AF168" t="s">
        <v>74</v>
      </c>
      <c r="AG168">
        <v>55</v>
      </c>
      <c r="AH168">
        <v>22</v>
      </c>
      <c r="AI168">
        <v>30</v>
      </c>
      <c r="AJ168">
        <v>0</v>
      </c>
      <c r="AK168">
        <v>13</v>
      </c>
      <c r="AL168" t="s">
        <v>2600</v>
      </c>
      <c r="AM168" t="s">
        <v>2601</v>
      </c>
      <c r="AN168" t="s">
        <v>2602</v>
      </c>
      <c r="AO168" t="s">
        <v>2603</v>
      </c>
      <c r="AP168" t="s">
        <v>2619</v>
      </c>
      <c r="AQ168" t="s">
        <v>74</v>
      </c>
      <c r="AR168" t="s">
        <v>2604</v>
      </c>
      <c r="AS168" t="s">
        <v>2605</v>
      </c>
      <c r="AT168" t="s">
        <v>2584</v>
      </c>
      <c r="AU168">
        <v>2004</v>
      </c>
      <c r="AV168">
        <v>36</v>
      </c>
      <c r="AW168">
        <v>4</v>
      </c>
      <c r="AX168" t="s">
        <v>74</v>
      </c>
      <c r="AY168" t="s">
        <v>74</v>
      </c>
      <c r="AZ168" t="s">
        <v>74</v>
      </c>
      <c r="BA168" t="s">
        <v>74</v>
      </c>
      <c r="BB168">
        <v>446</v>
      </c>
      <c r="BC168">
        <v>455</v>
      </c>
      <c r="BD168" t="s">
        <v>74</v>
      </c>
      <c r="BE168" t="s">
        <v>2698</v>
      </c>
      <c r="BF168" t="str">
        <f>HYPERLINK("http://dx.doi.org/10.1657/1523-0430(2004)036[0446:MCAATR]2.0.CO;2","http://dx.doi.org/10.1657/1523-0430(2004)036[0446:MCAATR]2.0.CO;2")</f>
        <v>http://dx.doi.org/10.1657/1523-0430(2004)036[0446:MCAATR]2.0.CO;2</v>
      </c>
      <c r="BG168" t="s">
        <v>74</v>
      </c>
      <c r="BH168" t="s">
        <v>74</v>
      </c>
      <c r="BI168">
        <v>10</v>
      </c>
      <c r="BJ168" t="s">
        <v>2607</v>
      </c>
      <c r="BK168" t="s">
        <v>139</v>
      </c>
      <c r="BL168" t="s">
        <v>1557</v>
      </c>
      <c r="BM168" t="s">
        <v>2608</v>
      </c>
      <c r="BN168" t="s">
        <v>74</v>
      </c>
      <c r="BO168" t="s">
        <v>2621</v>
      </c>
      <c r="BP168" t="s">
        <v>74</v>
      </c>
      <c r="BQ168" t="s">
        <v>74</v>
      </c>
      <c r="BR168" t="s">
        <v>98</v>
      </c>
      <c r="BS168" t="s">
        <v>2699</v>
      </c>
      <c r="BT168" t="str">
        <f>HYPERLINK("https%3A%2F%2Fwww.webofscience.com%2Fwos%2Fwoscc%2Ffull-record%2FWOS:000227702800009","View Full Record in Web of Science")</f>
        <v>View Full Record in Web of Science</v>
      </c>
    </row>
    <row r="169" spans="1:72" x14ac:dyDescent="0.15">
      <c r="A169" t="s">
        <v>122</v>
      </c>
      <c r="B169" t="s">
        <v>2700</v>
      </c>
      <c r="C169" t="s">
        <v>74</v>
      </c>
      <c r="D169" t="s">
        <v>74</v>
      </c>
      <c r="E169" t="s">
        <v>74</v>
      </c>
      <c r="F169" t="s">
        <v>2700</v>
      </c>
      <c r="G169" t="s">
        <v>74</v>
      </c>
      <c r="H169" t="s">
        <v>74</v>
      </c>
      <c r="I169" t="s">
        <v>2701</v>
      </c>
      <c r="J169" t="s">
        <v>2591</v>
      </c>
      <c r="K169" t="s">
        <v>74</v>
      </c>
      <c r="L169" t="s">
        <v>74</v>
      </c>
      <c r="M169" t="s">
        <v>79</v>
      </c>
      <c r="N169" t="s">
        <v>126</v>
      </c>
      <c r="O169" t="s">
        <v>74</v>
      </c>
      <c r="P169" t="s">
        <v>74</v>
      </c>
      <c r="Q169" t="s">
        <v>74</v>
      </c>
      <c r="R169" t="s">
        <v>74</v>
      </c>
      <c r="S169" t="s">
        <v>74</v>
      </c>
      <c r="T169" t="s">
        <v>74</v>
      </c>
      <c r="U169" t="s">
        <v>2702</v>
      </c>
      <c r="V169" t="s">
        <v>2703</v>
      </c>
      <c r="W169" t="s">
        <v>2704</v>
      </c>
      <c r="X169" t="s">
        <v>2705</v>
      </c>
      <c r="Y169" t="s">
        <v>2706</v>
      </c>
      <c r="Z169" t="s">
        <v>2707</v>
      </c>
      <c r="AA169" t="s">
        <v>2708</v>
      </c>
      <c r="AB169" t="s">
        <v>2709</v>
      </c>
      <c r="AC169" t="s">
        <v>74</v>
      </c>
      <c r="AD169" t="s">
        <v>74</v>
      </c>
      <c r="AE169" t="s">
        <v>74</v>
      </c>
      <c r="AF169" t="s">
        <v>74</v>
      </c>
      <c r="AG169">
        <v>47</v>
      </c>
      <c r="AH169">
        <v>36</v>
      </c>
      <c r="AI169">
        <v>40</v>
      </c>
      <c r="AJ169">
        <v>0</v>
      </c>
      <c r="AK169">
        <v>23</v>
      </c>
      <c r="AL169" t="s">
        <v>2600</v>
      </c>
      <c r="AM169" t="s">
        <v>2601</v>
      </c>
      <c r="AN169" t="s">
        <v>2602</v>
      </c>
      <c r="AO169" t="s">
        <v>2603</v>
      </c>
      <c r="AP169" t="s">
        <v>2619</v>
      </c>
      <c r="AQ169" t="s">
        <v>74</v>
      </c>
      <c r="AR169" t="s">
        <v>2604</v>
      </c>
      <c r="AS169" t="s">
        <v>2605</v>
      </c>
      <c r="AT169" t="s">
        <v>2584</v>
      </c>
      <c r="AU169">
        <v>2004</v>
      </c>
      <c r="AV169">
        <v>36</v>
      </c>
      <c r="AW169">
        <v>4</v>
      </c>
      <c r="AX169" t="s">
        <v>74</v>
      </c>
      <c r="AY169" t="s">
        <v>74</v>
      </c>
      <c r="AZ169" t="s">
        <v>74</v>
      </c>
      <c r="BA169" t="s">
        <v>74</v>
      </c>
      <c r="BB169">
        <v>456</v>
      </c>
      <c r="BC169">
        <v>463</v>
      </c>
      <c r="BD169" t="s">
        <v>74</v>
      </c>
      <c r="BE169" t="s">
        <v>2710</v>
      </c>
      <c r="BF169" t="str">
        <f>HYPERLINK("http://dx.doi.org/10.1657/1523-0430(2004)036[0456:GCDFIA]2.0.CO;2","http://dx.doi.org/10.1657/1523-0430(2004)036[0456:GCDFIA]2.0.CO;2")</f>
        <v>http://dx.doi.org/10.1657/1523-0430(2004)036[0456:GCDFIA]2.0.CO;2</v>
      </c>
      <c r="BG169" t="s">
        <v>74</v>
      </c>
      <c r="BH169" t="s">
        <v>74</v>
      </c>
      <c r="BI169">
        <v>8</v>
      </c>
      <c r="BJ169" t="s">
        <v>2607</v>
      </c>
      <c r="BK169" t="s">
        <v>139</v>
      </c>
      <c r="BL169" t="s">
        <v>1557</v>
      </c>
      <c r="BM169" t="s">
        <v>2608</v>
      </c>
      <c r="BN169" t="s">
        <v>74</v>
      </c>
      <c r="BO169" t="s">
        <v>2621</v>
      </c>
      <c r="BP169" t="s">
        <v>74</v>
      </c>
      <c r="BQ169" t="s">
        <v>74</v>
      </c>
      <c r="BR169" t="s">
        <v>98</v>
      </c>
      <c r="BS169" t="s">
        <v>2711</v>
      </c>
      <c r="BT169" t="str">
        <f>HYPERLINK("https%3A%2F%2Fwww.webofscience.com%2Fwos%2Fwoscc%2Ffull-record%2FWOS:000227702800010","View Full Record in Web of Science")</f>
        <v>View Full Record in Web of Science</v>
      </c>
    </row>
    <row r="170" spans="1:72" x14ac:dyDescent="0.15">
      <c r="A170" t="s">
        <v>122</v>
      </c>
      <c r="B170" t="s">
        <v>2712</v>
      </c>
      <c r="C170" t="s">
        <v>74</v>
      </c>
      <c r="D170" t="s">
        <v>74</v>
      </c>
      <c r="E170" t="s">
        <v>74</v>
      </c>
      <c r="F170" t="s">
        <v>2712</v>
      </c>
      <c r="G170" t="s">
        <v>74</v>
      </c>
      <c r="H170" t="s">
        <v>74</v>
      </c>
      <c r="I170" t="s">
        <v>2713</v>
      </c>
      <c r="J170" t="s">
        <v>2591</v>
      </c>
      <c r="K170" t="s">
        <v>74</v>
      </c>
      <c r="L170" t="s">
        <v>74</v>
      </c>
      <c r="M170" t="s">
        <v>79</v>
      </c>
      <c r="N170" t="s">
        <v>126</v>
      </c>
      <c r="O170" t="s">
        <v>74</v>
      </c>
      <c r="P170" t="s">
        <v>74</v>
      </c>
      <c r="Q170" t="s">
        <v>74</v>
      </c>
      <c r="R170" t="s">
        <v>74</v>
      </c>
      <c r="S170" t="s">
        <v>74</v>
      </c>
      <c r="T170" t="s">
        <v>74</v>
      </c>
      <c r="U170" t="s">
        <v>2714</v>
      </c>
      <c r="V170" t="s">
        <v>2715</v>
      </c>
      <c r="W170" t="s">
        <v>2716</v>
      </c>
      <c r="X170" t="s">
        <v>2717</v>
      </c>
      <c r="Y170" t="s">
        <v>2718</v>
      </c>
      <c r="Z170" t="s">
        <v>2719</v>
      </c>
      <c r="AA170" t="s">
        <v>2720</v>
      </c>
      <c r="AB170" t="s">
        <v>74</v>
      </c>
      <c r="AC170" t="s">
        <v>74</v>
      </c>
      <c r="AD170" t="s">
        <v>74</v>
      </c>
      <c r="AE170" t="s">
        <v>74</v>
      </c>
      <c r="AF170" t="s">
        <v>74</v>
      </c>
      <c r="AG170">
        <v>46</v>
      </c>
      <c r="AH170">
        <v>34</v>
      </c>
      <c r="AI170">
        <v>44</v>
      </c>
      <c r="AJ170">
        <v>0</v>
      </c>
      <c r="AK170">
        <v>59</v>
      </c>
      <c r="AL170" t="s">
        <v>1644</v>
      </c>
      <c r="AM170" t="s">
        <v>1645</v>
      </c>
      <c r="AN170" t="s">
        <v>1646</v>
      </c>
      <c r="AO170" t="s">
        <v>2603</v>
      </c>
      <c r="AP170" t="s">
        <v>2619</v>
      </c>
      <c r="AQ170" t="s">
        <v>74</v>
      </c>
      <c r="AR170" t="s">
        <v>2604</v>
      </c>
      <c r="AS170" t="s">
        <v>2605</v>
      </c>
      <c r="AT170" t="s">
        <v>2584</v>
      </c>
      <c r="AU170">
        <v>2004</v>
      </c>
      <c r="AV170">
        <v>36</v>
      </c>
      <c r="AW170">
        <v>4</v>
      </c>
      <c r="AX170" t="s">
        <v>74</v>
      </c>
      <c r="AY170" t="s">
        <v>74</v>
      </c>
      <c r="AZ170" t="s">
        <v>74</v>
      </c>
      <c r="BA170" t="s">
        <v>74</v>
      </c>
      <c r="BB170">
        <v>464</v>
      </c>
      <c r="BC170">
        <v>467</v>
      </c>
      <c r="BD170" t="s">
        <v>74</v>
      </c>
      <c r="BE170" t="s">
        <v>2721</v>
      </c>
      <c r="BF170" t="str">
        <f>HYPERLINK("http://dx.doi.org/10.1657/1523-0430(2004)036[0464:PANPII]2.0.CO;2","http://dx.doi.org/10.1657/1523-0430(2004)036[0464:PANPII]2.0.CO;2")</f>
        <v>http://dx.doi.org/10.1657/1523-0430(2004)036[0464:PANPII]2.0.CO;2</v>
      </c>
      <c r="BG170" t="s">
        <v>74</v>
      </c>
      <c r="BH170" t="s">
        <v>74</v>
      </c>
      <c r="BI170">
        <v>4</v>
      </c>
      <c r="BJ170" t="s">
        <v>2607</v>
      </c>
      <c r="BK170" t="s">
        <v>139</v>
      </c>
      <c r="BL170" t="s">
        <v>1557</v>
      </c>
      <c r="BM170" t="s">
        <v>2608</v>
      </c>
      <c r="BN170" t="s">
        <v>74</v>
      </c>
      <c r="BO170" t="s">
        <v>988</v>
      </c>
      <c r="BP170" t="s">
        <v>74</v>
      </c>
      <c r="BQ170" t="s">
        <v>74</v>
      </c>
      <c r="BR170" t="s">
        <v>98</v>
      </c>
      <c r="BS170" t="s">
        <v>2722</v>
      </c>
      <c r="BT170" t="str">
        <f>HYPERLINK("https%3A%2F%2Fwww.webofscience.com%2Fwos%2Fwoscc%2Ffull-record%2FWOS:000227702800011","View Full Record in Web of Science")</f>
        <v>View Full Record in Web of Science</v>
      </c>
    </row>
    <row r="171" spans="1:72" x14ac:dyDescent="0.15">
      <c r="A171" t="s">
        <v>122</v>
      </c>
      <c r="B171" t="s">
        <v>2723</v>
      </c>
      <c r="C171" t="s">
        <v>74</v>
      </c>
      <c r="D171" t="s">
        <v>74</v>
      </c>
      <c r="E171" t="s">
        <v>74</v>
      </c>
      <c r="F171" t="s">
        <v>2723</v>
      </c>
      <c r="G171" t="s">
        <v>74</v>
      </c>
      <c r="H171" t="s">
        <v>74</v>
      </c>
      <c r="I171" t="s">
        <v>2724</v>
      </c>
      <c r="J171" t="s">
        <v>2591</v>
      </c>
      <c r="K171" t="s">
        <v>74</v>
      </c>
      <c r="L171" t="s">
        <v>74</v>
      </c>
      <c r="M171" t="s">
        <v>79</v>
      </c>
      <c r="N171" t="s">
        <v>126</v>
      </c>
      <c r="O171" t="s">
        <v>74</v>
      </c>
      <c r="P171" t="s">
        <v>74</v>
      </c>
      <c r="Q171" t="s">
        <v>74</v>
      </c>
      <c r="R171" t="s">
        <v>74</v>
      </c>
      <c r="S171" t="s">
        <v>74</v>
      </c>
      <c r="T171" t="s">
        <v>74</v>
      </c>
      <c r="U171" t="s">
        <v>2725</v>
      </c>
      <c r="V171" t="s">
        <v>2726</v>
      </c>
      <c r="W171" t="s">
        <v>2727</v>
      </c>
      <c r="X171" t="s">
        <v>2728</v>
      </c>
      <c r="Y171" t="s">
        <v>2729</v>
      </c>
      <c r="Z171" t="s">
        <v>2730</v>
      </c>
      <c r="AA171" t="s">
        <v>2731</v>
      </c>
      <c r="AB171" t="s">
        <v>2732</v>
      </c>
      <c r="AC171" t="s">
        <v>74</v>
      </c>
      <c r="AD171" t="s">
        <v>74</v>
      </c>
      <c r="AE171" t="s">
        <v>74</v>
      </c>
      <c r="AF171" t="s">
        <v>74</v>
      </c>
      <c r="AG171">
        <v>59</v>
      </c>
      <c r="AH171">
        <v>33</v>
      </c>
      <c r="AI171">
        <v>39</v>
      </c>
      <c r="AJ171">
        <v>2</v>
      </c>
      <c r="AK171">
        <v>30</v>
      </c>
      <c r="AL171" t="s">
        <v>2600</v>
      </c>
      <c r="AM171" t="s">
        <v>2601</v>
      </c>
      <c r="AN171" t="s">
        <v>2602</v>
      </c>
      <c r="AO171" t="s">
        <v>2603</v>
      </c>
      <c r="AP171" t="s">
        <v>74</v>
      </c>
      <c r="AQ171" t="s">
        <v>74</v>
      </c>
      <c r="AR171" t="s">
        <v>2604</v>
      </c>
      <c r="AS171" t="s">
        <v>2605</v>
      </c>
      <c r="AT171" t="s">
        <v>2584</v>
      </c>
      <c r="AU171">
        <v>2004</v>
      </c>
      <c r="AV171">
        <v>36</v>
      </c>
      <c r="AW171">
        <v>4</v>
      </c>
      <c r="AX171" t="s">
        <v>74</v>
      </c>
      <c r="AY171" t="s">
        <v>74</v>
      </c>
      <c r="AZ171" t="s">
        <v>74</v>
      </c>
      <c r="BA171" t="s">
        <v>74</v>
      </c>
      <c r="BB171">
        <v>468</v>
      </c>
      <c r="BC171">
        <v>473</v>
      </c>
      <c r="BD171" t="s">
        <v>74</v>
      </c>
      <c r="BE171" t="s">
        <v>2733</v>
      </c>
      <c r="BF171" t="str">
        <f>HYPERLINK("http://dx.doi.org/10.1657/1523-0430(2004)036[0468:AEEOTA]2.0.CO;2","http://dx.doi.org/10.1657/1523-0430(2004)036[0468:AEEOTA]2.0.CO;2")</f>
        <v>http://dx.doi.org/10.1657/1523-0430(2004)036[0468:AEEOTA]2.0.CO;2</v>
      </c>
      <c r="BG171" t="s">
        <v>74</v>
      </c>
      <c r="BH171" t="s">
        <v>74</v>
      </c>
      <c r="BI171">
        <v>6</v>
      </c>
      <c r="BJ171" t="s">
        <v>2607</v>
      </c>
      <c r="BK171" t="s">
        <v>139</v>
      </c>
      <c r="BL171" t="s">
        <v>1557</v>
      </c>
      <c r="BM171" t="s">
        <v>2608</v>
      </c>
      <c r="BN171" t="s">
        <v>74</v>
      </c>
      <c r="BO171" t="s">
        <v>1866</v>
      </c>
      <c r="BP171" t="s">
        <v>74</v>
      </c>
      <c r="BQ171" t="s">
        <v>74</v>
      </c>
      <c r="BR171" t="s">
        <v>98</v>
      </c>
      <c r="BS171" t="s">
        <v>2734</v>
      </c>
      <c r="BT171" t="str">
        <f>HYPERLINK("https%3A%2F%2Fwww.webofscience.com%2Fwos%2Fwoscc%2Ffull-record%2FWOS:000227702800012","View Full Record in Web of Science")</f>
        <v>View Full Record in Web of Science</v>
      </c>
    </row>
    <row r="172" spans="1:72" x14ac:dyDescent="0.15">
      <c r="A172" t="s">
        <v>122</v>
      </c>
      <c r="B172" t="s">
        <v>2735</v>
      </c>
      <c r="C172" t="s">
        <v>74</v>
      </c>
      <c r="D172" t="s">
        <v>74</v>
      </c>
      <c r="E172" t="s">
        <v>74</v>
      </c>
      <c r="F172" t="s">
        <v>2735</v>
      </c>
      <c r="G172" t="s">
        <v>74</v>
      </c>
      <c r="H172" t="s">
        <v>74</v>
      </c>
      <c r="I172" t="s">
        <v>2736</v>
      </c>
      <c r="J172" t="s">
        <v>2591</v>
      </c>
      <c r="K172" t="s">
        <v>74</v>
      </c>
      <c r="L172" t="s">
        <v>74</v>
      </c>
      <c r="M172" t="s">
        <v>79</v>
      </c>
      <c r="N172" t="s">
        <v>126</v>
      </c>
      <c r="O172" t="s">
        <v>74</v>
      </c>
      <c r="P172" t="s">
        <v>74</v>
      </c>
      <c r="Q172" t="s">
        <v>74</v>
      </c>
      <c r="R172" t="s">
        <v>74</v>
      </c>
      <c r="S172" t="s">
        <v>74</v>
      </c>
      <c r="T172" t="s">
        <v>74</v>
      </c>
      <c r="U172" t="s">
        <v>2737</v>
      </c>
      <c r="V172" t="s">
        <v>2738</v>
      </c>
      <c r="W172" t="s">
        <v>2739</v>
      </c>
      <c r="X172" t="s">
        <v>2740</v>
      </c>
      <c r="Y172" t="s">
        <v>2741</v>
      </c>
      <c r="Z172" t="s">
        <v>2742</v>
      </c>
      <c r="AA172" t="s">
        <v>74</v>
      </c>
      <c r="AB172" t="s">
        <v>74</v>
      </c>
      <c r="AC172" t="s">
        <v>74</v>
      </c>
      <c r="AD172" t="s">
        <v>74</v>
      </c>
      <c r="AE172" t="s">
        <v>74</v>
      </c>
      <c r="AF172" t="s">
        <v>74</v>
      </c>
      <c r="AG172">
        <v>58</v>
      </c>
      <c r="AH172">
        <v>22</v>
      </c>
      <c r="AI172">
        <v>33</v>
      </c>
      <c r="AJ172">
        <v>0</v>
      </c>
      <c r="AK172">
        <v>11</v>
      </c>
      <c r="AL172" t="s">
        <v>2600</v>
      </c>
      <c r="AM172" t="s">
        <v>2601</v>
      </c>
      <c r="AN172" t="s">
        <v>2602</v>
      </c>
      <c r="AO172" t="s">
        <v>2603</v>
      </c>
      <c r="AP172" t="s">
        <v>2619</v>
      </c>
      <c r="AQ172" t="s">
        <v>74</v>
      </c>
      <c r="AR172" t="s">
        <v>2604</v>
      </c>
      <c r="AS172" t="s">
        <v>2605</v>
      </c>
      <c r="AT172" t="s">
        <v>2584</v>
      </c>
      <c r="AU172">
        <v>2004</v>
      </c>
      <c r="AV172">
        <v>36</v>
      </c>
      <c r="AW172">
        <v>4</v>
      </c>
      <c r="AX172" t="s">
        <v>74</v>
      </c>
      <c r="AY172" t="s">
        <v>74</v>
      </c>
      <c r="AZ172" t="s">
        <v>74</v>
      </c>
      <c r="BA172" t="s">
        <v>74</v>
      </c>
      <c r="BB172">
        <v>474</v>
      </c>
      <c r="BC172">
        <v>483</v>
      </c>
      <c r="BD172" t="s">
        <v>74</v>
      </c>
      <c r="BE172" t="s">
        <v>2743</v>
      </c>
      <c r="BF172" t="str">
        <f>HYPERLINK("http://dx.doi.org/10.1657/1523-0430(2004)036[0474:TEOMOT]2.0.CO;2","http://dx.doi.org/10.1657/1523-0430(2004)036[0474:TEOMOT]2.0.CO;2")</f>
        <v>http://dx.doi.org/10.1657/1523-0430(2004)036[0474:TEOMOT]2.0.CO;2</v>
      </c>
      <c r="BG172" t="s">
        <v>74</v>
      </c>
      <c r="BH172" t="s">
        <v>74</v>
      </c>
      <c r="BI172">
        <v>10</v>
      </c>
      <c r="BJ172" t="s">
        <v>2607</v>
      </c>
      <c r="BK172" t="s">
        <v>139</v>
      </c>
      <c r="BL172" t="s">
        <v>1557</v>
      </c>
      <c r="BM172" t="s">
        <v>2608</v>
      </c>
      <c r="BN172" t="s">
        <v>74</v>
      </c>
      <c r="BO172" t="s">
        <v>1866</v>
      </c>
      <c r="BP172" t="s">
        <v>74</v>
      </c>
      <c r="BQ172" t="s">
        <v>74</v>
      </c>
      <c r="BR172" t="s">
        <v>98</v>
      </c>
      <c r="BS172" t="s">
        <v>2744</v>
      </c>
      <c r="BT172" t="str">
        <f>HYPERLINK("https%3A%2F%2Fwww.webofscience.com%2Fwos%2Fwoscc%2Ffull-record%2FWOS:000227702800013","View Full Record in Web of Science")</f>
        <v>View Full Record in Web of Science</v>
      </c>
    </row>
    <row r="173" spans="1:72" x14ac:dyDescent="0.15">
      <c r="A173" t="s">
        <v>122</v>
      </c>
      <c r="B173" t="s">
        <v>2745</v>
      </c>
      <c r="C173" t="s">
        <v>74</v>
      </c>
      <c r="D173" t="s">
        <v>74</v>
      </c>
      <c r="E173" t="s">
        <v>74</v>
      </c>
      <c r="F173" t="s">
        <v>2745</v>
      </c>
      <c r="G173" t="s">
        <v>74</v>
      </c>
      <c r="H173" t="s">
        <v>74</v>
      </c>
      <c r="I173" t="s">
        <v>2746</v>
      </c>
      <c r="J173" t="s">
        <v>2591</v>
      </c>
      <c r="K173" t="s">
        <v>74</v>
      </c>
      <c r="L173" t="s">
        <v>74</v>
      </c>
      <c r="M173" t="s">
        <v>79</v>
      </c>
      <c r="N173" t="s">
        <v>126</v>
      </c>
      <c r="O173" t="s">
        <v>74</v>
      </c>
      <c r="P173" t="s">
        <v>74</v>
      </c>
      <c r="Q173" t="s">
        <v>74</v>
      </c>
      <c r="R173" t="s">
        <v>74</v>
      </c>
      <c r="S173" t="s">
        <v>74</v>
      </c>
      <c r="T173" t="s">
        <v>74</v>
      </c>
      <c r="U173" t="s">
        <v>2747</v>
      </c>
      <c r="V173" t="s">
        <v>2748</v>
      </c>
      <c r="W173" t="s">
        <v>2749</v>
      </c>
      <c r="X173" t="s">
        <v>2750</v>
      </c>
      <c r="Y173" t="s">
        <v>2751</v>
      </c>
      <c r="Z173" t="s">
        <v>2752</v>
      </c>
      <c r="AA173" t="s">
        <v>2753</v>
      </c>
      <c r="AB173" t="s">
        <v>2754</v>
      </c>
      <c r="AC173" t="s">
        <v>74</v>
      </c>
      <c r="AD173" t="s">
        <v>74</v>
      </c>
      <c r="AE173" t="s">
        <v>74</v>
      </c>
      <c r="AF173" t="s">
        <v>74</v>
      </c>
      <c r="AG173">
        <v>45</v>
      </c>
      <c r="AH173">
        <v>50</v>
      </c>
      <c r="AI173">
        <v>57</v>
      </c>
      <c r="AJ173">
        <v>0</v>
      </c>
      <c r="AK173">
        <v>20</v>
      </c>
      <c r="AL173" t="s">
        <v>2600</v>
      </c>
      <c r="AM173" t="s">
        <v>2601</v>
      </c>
      <c r="AN173" t="s">
        <v>2602</v>
      </c>
      <c r="AO173" t="s">
        <v>2603</v>
      </c>
      <c r="AP173" t="s">
        <v>74</v>
      </c>
      <c r="AQ173" t="s">
        <v>74</v>
      </c>
      <c r="AR173" t="s">
        <v>2604</v>
      </c>
      <c r="AS173" t="s">
        <v>2605</v>
      </c>
      <c r="AT173" t="s">
        <v>2584</v>
      </c>
      <c r="AU173">
        <v>2004</v>
      </c>
      <c r="AV173">
        <v>36</v>
      </c>
      <c r="AW173">
        <v>4</v>
      </c>
      <c r="AX173" t="s">
        <v>74</v>
      </c>
      <c r="AY173" t="s">
        <v>74</v>
      </c>
      <c r="AZ173" t="s">
        <v>74</v>
      </c>
      <c r="BA173" t="s">
        <v>74</v>
      </c>
      <c r="BB173">
        <v>484</v>
      </c>
      <c r="BC173">
        <v>489</v>
      </c>
      <c r="BD173" t="s">
        <v>74</v>
      </c>
      <c r="BE173" t="s">
        <v>2755</v>
      </c>
      <c r="BF173" t="str">
        <f>HYPERLINK("http://dx.doi.org/10.1657/1523-0430(2004)036[0484:EDIMAC]2.0.CO;2","http://dx.doi.org/10.1657/1523-0430(2004)036[0484:EDIMAC]2.0.CO;2")</f>
        <v>http://dx.doi.org/10.1657/1523-0430(2004)036[0484:EDIMAC]2.0.CO;2</v>
      </c>
      <c r="BG173" t="s">
        <v>74</v>
      </c>
      <c r="BH173" t="s">
        <v>74</v>
      </c>
      <c r="BI173">
        <v>6</v>
      </c>
      <c r="BJ173" t="s">
        <v>2607</v>
      </c>
      <c r="BK173" t="s">
        <v>139</v>
      </c>
      <c r="BL173" t="s">
        <v>1557</v>
      </c>
      <c r="BM173" t="s">
        <v>2608</v>
      </c>
      <c r="BN173" t="s">
        <v>74</v>
      </c>
      <c r="BO173" t="s">
        <v>273</v>
      </c>
      <c r="BP173" t="s">
        <v>74</v>
      </c>
      <c r="BQ173" t="s">
        <v>74</v>
      </c>
      <c r="BR173" t="s">
        <v>98</v>
      </c>
      <c r="BS173" t="s">
        <v>2756</v>
      </c>
      <c r="BT173" t="str">
        <f>HYPERLINK("https%3A%2F%2Fwww.webofscience.com%2Fwos%2Fwoscc%2Ffull-record%2FWOS:000227702800014","View Full Record in Web of Science")</f>
        <v>View Full Record in Web of Science</v>
      </c>
    </row>
    <row r="174" spans="1:72" x14ac:dyDescent="0.15">
      <c r="A174" t="s">
        <v>122</v>
      </c>
      <c r="B174" t="s">
        <v>2757</v>
      </c>
      <c r="C174" t="s">
        <v>74</v>
      </c>
      <c r="D174" t="s">
        <v>74</v>
      </c>
      <c r="E174" t="s">
        <v>74</v>
      </c>
      <c r="F174" t="s">
        <v>2757</v>
      </c>
      <c r="G174" t="s">
        <v>74</v>
      </c>
      <c r="H174" t="s">
        <v>74</v>
      </c>
      <c r="I174" t="s">
        <v>2758</v>
      </c>
      <c r="J174" t="s">
        <v>2591</v>
      </c>
      <c r="K174" t="s">
        <v>74</v>
      </c>
      <c r="L174" t="s">
        <v>74</v>
      </c>
      <c r="M174" t="s">
        <v>79</v>
      </c>
      <c r="N174" t="s">
        <v>126</v>
      </c>
      <c r="O174" t="s">
        <v>74</v>
      </c>
      <c r="P174" t="s">
        <v>74</v>
      </c>
      <c r="Q174" t="s">
        <v>74</v>
      </c>
      <c r="R174" t="s">
        <v>74</v>
      </c>
      <c r="S174" t="s">
        <v>74</v>
      </c>
      <c r="T174" t="s">
        <v>74</v>
      </c>
      <c r="U174" t="s">
        <v>2759</v>
      </c>
      <c r="V174" t="s">
        <v>2760</v>
      </c>
      <c r="W174" t="s">
        <v>2761</v>
      </c>
      <c r="X174" t="s">
        <v>2762</v>
      </c>
      <c r="Y174" t="s">
        <v>2763</v>
      </c>
      <c r="Z174" t="s">
        <v>2764</v>
      </c>
      <c r="AA174" t="s">
        <v>2765</v>
      </c>
      <c r="AB174" t="s">
        <v>2766</v>
      </c>
      <c r="AC174" t="s">
        <v>74</v>
      </c>
      <c r="AD174" t="s">
        <v>74</v>
      </c>
      <c r="AE174" t="s">
        <v>74</v>
      </c>
      <c r="AF174" t="s">
        <v>74</v>
      </c>
      <c r="AG174">
        <v>51</v>
      </c>
      <c r="AH174">
        <v>24</v>
      </c>
      <c r="AI174">
        <v>32</v>
      </c>
      <c r="AJ174">
        <v>2</v>
      </c>
      <c r="AK174">
        <v>26</v>
      </c>
      <c r="AL174" t="s">
        <v>1644</v>
      </c>
      <c r="AM174" t="s">
        <v>1645</v>
      </c>
      <c r="AN174" t="s">
        <v>1646</v>
      </c>
      <c r="AO174" t="s">
        <v>2603</v>
      </c>
      <c r="AP174" t="s">
        <v>2619</v>
      </c>
      <c r="AQ174" t="s">
        <v>74</v>
      </c>
      <c r="AR174" t="s">
        <v>2604</v>
      </c>
      <c r="AS174" t="s">
        <v>2605</v>
      </c>
      <c r="AT174" t="s">
        <v>2584</v>
      </c>
      <c r="AU174">
        <v>2004</v>
      </c>
      <c r="AV174">
        <v>36</v>
      </c>
      <c r="AW174">
        <v>4</v>
      </c>
      <c r="AX174" t="s">
        <v>74</v>
      </c>
      <c r="AY174" t="s">
        <v>74</v>
      </c>
      <c r="AZ174" t="s">
        <v>74</v>
      </c>
      <c r="BA174" t="s">
        <v>74</v>
      </c>
      <c r="BB174">
        <v>490</v>
      </c>
      <c r="BC174">
        <v>494</v>
      </c>
      <c r="BD174" t="s">
        <v>74</v>
      </c>
      <c r="BE174" t="s">
        <v>2767</v>
      </c>
      <c r="BF174" t="str">
        <f>HYPERLINK("http://dx.doi.org/10.1657/1523-0430(2004)036[0490:FPCAAT]2.0.CO;2","http://dx.doi.org/10.1657/1523-0430(2004)036[0490:FPCAAT]2.0.CO;2")</f>
        <v>http://dx.doi.org/10.1657/1523-0430(2004)036[0490:FPCAAT]2.0.CO;2</v>
      </c>
      <c r="BG174" t="s">
        <v>74</v>
      </c>
      <c r="BH174" t="s">
        <v>74</v>
      </c>
      <c r="BI174">
        <v>5</v>
      </c>
      <c r="BJ174" t="s">
        <v>2607</v>
      </c>
      <c r="BK174" t="s">
        <v>139</v>
      </c>
      <c r="BL174" t="s">
        <v>1557</v>
      </c>
      <c r="BM174" t="s">
        <v>2608</v>
      </c>
      <c r="BN174" t="s">
        <v>74</v>
      </c>
      <c r="BO174" t="s">
        <v>1866</v>
      </c>
      <c r="BP174" t="s">
        <v>74</v>
      </c>
      <c r="BQ174" t="s">
        <v>74</v>
      </c>
      <c r="BR174" t="s">
        <v>98</v>
      </c>
      <c r="BS174" t="s">
        <v>2768</v>
      </c>
      <c r="BT174" t="str">
        <f>HYPERLINK("https%3A%2F%2Fwww.webofscience.com%2Fwos%2Fwoscc%2Ffull-record%2FWOS:000227702800015","View Full Record in Web of Science")</f>
        <v>View Full Record in Web of Science</v>
      </c>
    </row>
    <row r="175" spans="1:72" x14ac:dyDescent="0.15">
      <c r="A175" t="s">
        <v>122</v>
      </c>
      <c r="B175" t="s">
        <v>2769</v>
      </c>
      <c r="C175" t="s">
        <v>74</v>
      </c>
      <c r="D175" t="s">
        <v>74</v>
      </c>
      <c r="E175" t="s">
        <v>74</v>
      </c>
      <c r="F175" t="s">
        <v>2769</v>
      </c>
      <c r="G175" t="s">
        <v>74</v>
      </c>
      <c r="H175" t="s">
        <v>74</v>
      </c>
      <c r="I175" t="s">
        <v>2770</v>
      </c>
      <c r="J175" t="s">
        <v>2591</v>
      </c>
      <c r="K175" t="s">
        <v>74</v>
      </c>
      <c r="L175" t="s">
        <v>74</v>
      </c>
      <c r="M175" t="s">
        <v>79</v>
      </c>
      <c r="N175" t="s">
        <v>126</v>
      </c>
      <c r="O175" t="s">
        <v>74</v>
      </c>
      <c r="P175" t="s">
        <v>74</v>
      </c>
      <c r="Q175" t="s">
        <v>74</v>
      </c>
      <c r="R175" t="s">
        <v>74</v>
      </c>
      <c r="S175" t="s">
        <v>74</v>
      </c>
      <c r="T175" t="s">
        <v>74</v>
      </c>
      <c r="U175" t="s">
        <v>2771</v>
      </c>
      <c r="V175" t="s">
        <v>2772</v>
      </c>
      <c r="W175" t="s">
        <v>2773</v>
      </c>
      <c r="X175" t="s">
        <v>2774</v>
      </c>
      <c r="Y175" t="s">
        <v>2775</v>
      </c>
      <c r="Z175" t="s">
        <v>2776</v>
      </c>
      <c r="AA175" t="s">
        <v>2777</v>
      </c>
      <c r="AB175" t="s">
        <v>74</v>
      </c>
      <c r="AC175" t="s">
        <v>74</v>
      </c>
      <c r="AD175" t="s">
        <v>74</v>
      </c>
      <c r="AE175" t="s">
        <v>74</v>
      </c>
      <c r="AF175" t="s">
        <v>74</v>
      </c>
      <c r="AG175">
        <v>17</v>
      </c>
      <c r="AH175">
        <v>3</v>
      </c>
      <c r="AI175">
        <v>5</v>
      </c>
      <c r="AJ175">
        <v>0</v>
      </c>
      <c r="AK175">
        <v>5</v>
      </c>
      <c r="AL175" t="s">
        <v>2600</v>
      </c>
      <c r="AM175" t="s">
        <v>2601</v>
      </c>
      <c r="AN175" t="s">
        <v>2602</v>
      </c>
      <c r="AO175" t="s">
        <v>2603</v>
      </c>
      <c r="AP175" t="s">
        <v>74</v>
      </c>
      <c r="AQ175" t="s">
        <v>74</v>
      </c>
      <c r="AR175" t="s">
        <v>2604</v>
      </c>
      <c r="AS175" t="s">
        <v>2605</v>
      </c>
      <c r="AT175" t="s">
        <v>2584</v>
      </c>
      <c r="AU175">
        <v>2004</v>
      </c>
      <c r="AV175">
        <v>36</v>
      </c>
      <c r="AW175">
        <v>4</v>
      </c>
      <c r="AX175" t="s">
        <v>74</v>
      </c>
      <c r="AY175" t="s">
        <v>74</v>
      </c>
      <c r="AZ175" t="s">
        <v>74</v>
      </c>
      <c r="BA175" t="s">
        <v>74</v>
      </c>
      <c r="BB175">
        <v>495</v>
      </c>
      <c r="BC175">
        <v>501</v>
      </c>
      <c r="BD175" t="s">
        <v>74</v>
      </c>
      <c r="BE175" t="s">
        <v>2778</v>
      </c>
      <c r="BF175" t="str">
        <f>HYPERLINK("http://dx.doi.org/10.1657/1523-0430(2004)036[0495:OOAIAD]2.0.CO;2","http://dx.doi.org/10.1657/1523-0430(2004)036[0495:OOAIAD]2.0.CO;2")</f>
        <v>http://dx.doi.org/10.1657/1523-0430(2004)036[0495:OOAIAD]2.0.CO;2</v>
      </c>
      <c r="BG175" t="s">
        <v>74</v>
      </c>
      <c r="BH175" t="s">
        <v>74</v>
      </c>
      <c r="BI175">
        <v>7</v>
      </c>
      <c r="BJ175" t="s">
        <v>2607</v>
      </c>
      <c r="BK175" t="s">
        <v>139</v>
      </c>
      <c r="BL175" t="s">
        <v>1557</v>
      </c>
      <c r="BM175" t="s">
        <v>2608</v>
      </c>
      <c r="BN175" t="s">
        <v>74</v>
      </c>
      <c r="BO175" t="s">
        <v>988</v>
      </c>
      <c r="BP175" t="s">
        <v>74</v>
      </c>
      <c r="BQ175" t="s">
        <v>74</v>
      </c>
      <c r="BR175" t="s">
        <v>98</v>
      </c>
      <c r="BS175" t="s">
        <v>2779</v>
      </c>
      <c r="BT175" t="str">
        <f>HYPERLINK("https%3A%2F%2Fwww.webofscience.com%2Fwos%2Fwoscc%2Ffull-record%2FWOS:000227702800016","View Full Record in Web of Science")</f>
        <v>View Full Record in Web of Science</v>
      </c>
    </row>
    <row r="176" spans="1:72" x14ac:dyDescent="0.15">
      <c r="A176" t="s">
        <v>122</v>
      </c>
      <c r="B176" t="s">
        <v>2780</v>
      </c>
      <c r="C176" t="s">
        <v>74</v>
      </c>
      <c r="D176" t="s">
        <v>74</v>
      </c>
      <c r="E176" t="s">
        <v>74</v>
      </c>
      <c r="F176" t="s">
        <v>2780</v>
      </c>
      <c r="G176" t="s">
        <v>74</v>
      </c>
      <c r="H176" t="s">
        <v>74</v>
      </c>
      <c r="I176" t="s">
        <v>2781</v>
      </c>
      <c r="J176" t="s">
        <v>2591</v>
      </c>
      <c r="K176" t="s">
        <v>74</v>
      </c>
      <c r="L176" t="s">
        <v>74</v>
      </c>
      <c r="M176" t="s">
        <v>79</v>
      </c>
      <c r="N176" t="s">
        <v>126</v>
      </c>
      <c r="O176" t="s">
        <v>74</v>
      </c>
      <c r="P176" t="s">
        <v>74</v>
      </c>
      <c r="Q176" t="s">
        <v>74</v>
      </c>
      <c r="R176" t="s">
        <v>74</v>
      </c>
      <c r="S176" t="s">
        <v>74</v>
      </c>
      <c r="T176" t="s">
        <v>74</v>
      </c>
      <c r="U176" t="s">
        <v>2782</v>
      </c>
      <c r="V176" t="s">
        <v>2783</v>
      </c>
      <c r="W176" t="s">
        <v>2784</v>
      </c>
      <c r="X176" t="s">
        <v>2785</v>
      </c>
      <c r="Y176" t="s">
        <v>2786</v>
      </c>
      <c r="Z176" t="s">
        <v>2787</v>
      </c>
      <c r="AA176" t="s">
        <v>74</v>
      </c>
      <c r="AB176" t="s">
        <v>2788</v>
      </c>
      <c r="AC176" t="s">
        <v>74</v>
      </c>
      <c r="AD176" t="s">
        <v>74</v>
      </c>
      <c r="AE176" t="s">
        <v>74</v>
      </c>
      <c r="AF176" t="s">
        <v>74</v>
      </c>
      <c r="AG176">
        <v>26</v>
      </c>
      <c r="AH176">
        <v>33</v>
      </c>
      <c r="AI176">
        <v>35</v>
      </c>
      <c r="AJ176">
        <v>1</v>
      </c>
      <c r="AK176">
        <v>15</v>
      </c>
      <c r="AL176" t="s">
        <v>1644</v>
      </c>
      <c r="AM176" t="s">
        <v>1645</v>
      </c>
      <c r="AN176" t="s">
        <v>1646</v>
      </c>
      <c r="AO176" t="s">
        <v>2603</v>
      </c>
      <c r="AP176" t="s">
        <v>2619</v>
      </c>
      <c r="AQ176" t="s">
        <v>74</v>
      </c>
      <c r="AR176" t="s">
        <v>2604</v>
      </c>
      <c r="AS176" t="s">
        <v>2605</v>
      </c>
      <c r="AT176" t="s">
        <v>2584</v>
      </c>
      <c r="AU176">
        <v>2004</v>
      </c>
      <c r="AV176">
        <v>36</v>
      </c>
      <c r="AW176">
        <v>4</v>
      </c>
      <c r="AX176" t="s">
        <v>74</v>
      </c>
      <c r="AY176" t="s">
        <v>74</v>
      </c>
      <c r="AZ176" t="s">
        <v>74</v>
      </c>
      <c r="BA176" t="s">
        <v>74</v>
      </c>
      <c r="BB176">
        <v>502</v>
      </c>
      <c r="BC176">
        <v>508</v>
      </c>
      <c r="BD176" t="s">
        <v>74</v>
      </c>
      <c r="BE176" t="s">
        <v>2789</v>
      </c>
      <c r="BF176" t="str">
        <f>HYPERLINK("http://dx.doi.org/10.1657/1523-0430(2004)036[0502:AMASTA]2.0.CO;2","http://dx.doi.org/10.1657/1523-0430(2004)036[0502:AMASTA]2.0.CO;2")</f>
        <v>http://dx.doi.org/10.1657/1523-0430(2004)036[0502:AMASTA]2.0.CO;2</v>
      </c>
      <c r="BG176" t="s">
        <v>74</v>
      </c>
      <c r="BH176" t="s">
        <v>74</v>
      </c>
      <c r="BI176">
        <v>7</v>
      </c>
      <c r="BJ176" t="s">
        <v>2607</v>
      </c>
      <c r="BK176" t="s">
        <v>139</v>
      </c>
      <c r="BL176" t="s">
        <v>1557</v>
      </c>
      <c r="BM176" t="s">
        <v>2608</v>
      </c>
      <c r="BN176" t="s">
        <v>74</v>
      </c>
      <c r="BO176" t="s">
        <v>988</v>
      </c>
      <c r="BP176" t="s">
        <v>74</v>
      </c>
      <c r="BQ176" t="s">
        <v>74</v>
      </c>
      <c r="BR176" t="s">
        <v>98</v>
      </c>
      <c r="BS176" t="s">
        <v>2790</v>
      </c>
      <c r="BT176" t="str">
        <f>HYPERLINK("https%3A%2F%2Fwww.webofscience.com%2Fwos%2Fwoscc%2Ffull-record%2FWOS:000227702800017","View Full Record in Web of Science")</f>
        <v>View Full Record in Web of Science</v>
      </c>
    </row>
    <row r="177" spans="1:72" x14ac:dyDescent="0.15">
      <c r="A177" t="s">
        <v>122</v>
      </c>
      <c r="B177" t="s">
        <v>2791</v>
      </c>
      <c r="C177" t="s">
        <v>74</v>
      </c>
      <c r="D177" t="s">
        <v>74</v>
      </c>
      <c r="E177" t="s">
        <v>74</v>
      </c>
      <c r="F177" t="s">
        <v>2791</v>
      </c>
      <c r="G177" t="s">
        <v>74</v>
      </c>
      <c r="H177" t="s">
        <v>74</v>
      </c>
      <c r="I177" t="s">
        <v>2792</v>
      </c>
      <c r="J177" t="s">
        <v>2591</v>
      </c>
      <c r="K177" t="s">
        <v>74</v>
      </c>
      <c r="L177" t="s">
        <v>74</v>
      </c>
      <c r="M177" t="s">
        <v>79</v>
      </c>
      <c r="N177" t="s">
        <v>126</v>
      </c>
      <c r="O177" t="s">
        <v>74</v>
      </c>
      <c r="P177" t="s">
        <v>74</v>
      </c>
      <c r="Q177" t="s">
        <v>74</v>
      </c>
      <c r="R177" t="s">
        <v>74</v>
      </c>
      <c r="S177" t="s">
        <v>74</v>
      </c>
      <c r="T177" t="s">
        <v>74</v>
      </c>
      <c r="U177" t="s">
        <v>2793</v>
      </c>
      <c r="V177" t="s">
        <v>2794</v>
      </c>
      <c r="W177" t="s">
        <v>2795</v>
      </c>
      <c r="X177" t="s">
        <v>1956</v>
      </c>
      <c r="Y177" t="s">
        <v>2796</v>
      </c>
      <c r="Z177" t="s">
        <v>2797</v>
      </c>
      <c r="AA177" t="s">
        <v>2798</v>
      </c>
      <c r="AB177" t="s">
        <v>2799</v>
      </c>
      <c r="AC177" t="s">
        <v>74</v>
      </c>
      <c r="AD177" t="s">
        <v>74</v>
      </c>
      <c r="AE177" t="s">
        <v>74</v>
      </c>
      <c r="AF177" t="s">
        <v>74</v>
      </c>
      <c r="AG177">
        <v>44</v>
      </c>
      <c r="AH177">
        <v>39</v>
      </c>
      <c r="AI177">
        <v>43</v>
      </c>
      <c r="AJ177">
        <v>0</v>
      </c>
      <c r="AK177">
        <v>20</v>
      </c>
      <c r="AL177" t="s">
        <v>2600</v>
      </c>
      <c r="AM177" t="s">
        <v>2601</v>
      </c>
      <c r="AN177" t="s">
        <v>2602</v>
      </c>
      <c r="AO177" t="s">
        <v>2603</v>
      </c>
      <c r="AP177" t="s">
        <v>2619</v>
      </c>
      <c r="AQ177" t="s">
        <v>74</v>
      </c>
      <c r="AR177" t="s">
        <v>2604</v>
      </c>
      <c r="AS177" t="s">
        <v>2605</v>
      </c>
      <c r="AT177" t="s">
        <v>2584</v>
      </c>
      <c r="AU177">
        <v>2004</v>
      </c>
      <c r="AV177">
        <v>36</v>
      </c>
      <c r="AW177">
        <v>4</v>
      </c>
      <c r="AX177" t="s">
        <v>74</v>
      </c>
      <c r="AY177" t="s">
        <v>74</v>
      </c>
      <c r="AZ177" t="s">
        <v>74</v>
      </c>
      <c r="BA177" t="s">
        <v>74</v>
      </c>
      <c r="BB177">
        <v>509</v>
      </c>
      <c r="BC177">
        <v>517</v>
      </c>
      <c r="BD177" t="s">
        <v>74</v>
      </c>
      <c r="BE177" t="s">
        <v>2800</v>
      </c>
      <c r="BF177" t="str">
        <f>HYPERLINK("http://dx.doi.org/10.1657/1523-0430(2004)36[509:TUOSAA]2.0.CO;2","http://dx.doi.org/10.1657/1523-0430(2004)36[509:TUOSAA]2.0.CO;2")</f>
        <v>http://dx.doi.org/10.1657/1523-0430(2004)36[509:TUOSAA]2.0.CO;2</v>
      </c>
      <c r="BG177" t="s">
        <v>74</v>
      </c>
      <c r="BH177" t="s">
        <v>74</v>
      </c>
      <c r="BI177">
        <v>9</v>
      </c>
      <c r="BJ177" t="s">
        <v>2607</v>
      </c>
      <c r="BK177" t="s">
        <v>139</v>
      </c>
      <c r="BL177" t="s">
        <v>1557</v>
      </c>
      <c r="BM177" t="s">
        <v>2608</v>
      </c>
      <c r="BN177" t="s">
        <v>74</v>
      </c>
      <c r="BO177" t="s">
        <v>2621</v>
      </c>
      <c r="BP177" t="s">
        <v>74</v>
      </c>
      <c r="BQ177" t="s">
        <v>74</v>
      </c>
      <c r="BR177" t="s">
        <v>98</v>
      </c>
      <c r="BS177" t="s">
        <v>2801</v>
      </c>
      <c r="BT177" t="str">
        <f>HYPERLINK("https%3A%2F%2Fwww.webofscience.com%2Fwos%2Fwoscc%2Ffull-record%2FWOS:000227702800018","View Full Record in Web of Science")</f>
        <v>View Full Record in Web of Science</v>
      </c>
    </row>
    <row r="178" spans="1:72" x14ac:dyDescent="0.15">
      <c r="A178" t="s">
        <v>122</v>
      </c>
      <c r="B178" t="s">
        <v>2802</v>
      </c>
      <c r="C178" t="s">
        <v>74</v>
      </c>
      <c r="D178" t="s">
        <v>74</v>
      </c>
      <c r="E178" t="s">
        <v>74</v>
      </c>
      <c r="F178" t="s">
        <v>2802</v>
      </c>
      <c r="G178" t="s">
        <v>74</v>
      </c>
      <c r="H178" t="s">
        <v>74</v>
      </c>
      <c r="I178" t="s">
        <v>2803</v>
      </c>
      <c r="J178" t="s">
        <v>2591</v>
      </c>
      <c r="K178" t="s">
        <v>74</v>
      </c>
      <c r="L178" t="s">
        <v>74</v>
      </c>
      <c r="M178" t="s">
        <v>79</v>
      </c>
      <c r="N178" t="s">
        <v>126</v>
      </c>
      <c r="O178" t="s">
        <v>74</v>
      </c>
      <c r="P178" t="s">
        <v>74</v>
      </c>
      <c r="Q178" t="s">
        <v>74</v>
      </c>
      <c r="R178" t="s">
        <v>74</v>
      </c>
      <c r="S178" t="s">
        <v>74</v>
      </c>
      <c r="T178" t="s">
        <v>74</v>
      </c>
      <c r="U178" t="s">
        <v>2804</v>
      </c>
      <c r="V178" t="s">
        <v>2805</v>
      </c>
      <c r="W178" t="s">
        <v>2806</v>
      </c>
      <c r="X178" t="s">
        <v>2807</v>
      </c>
      <c r="Y178" t="s">
        <v>2808</v>
      </c>
      <c r="Z178" t="s">
        <v>2809</v>
      </c>
      <c r="AA178" t="s">
        <v>2810</v>
      </c>
      <c r="AB178" t="s">
        <v>2811</v>
      </c>
      <c r="AC178" t="s">
        <v>74</v>
      </c>
      <c r="AD178" t="s">
        <v>74</v>
      </c>
      <c r="AE178" t="s">
        <v>74</v>
      </c>
      <c r="AF178" t="s">
        <v>74</v>
      </c>
      <c r="AG178">
        <v>100</v>
      </c>
      <c r="AH178">
        <v>50</v>
      </c>
      <c r="AI178">
        <v>54</v>
      </c>
      <c r="AJ178">
        <v>2</v>
      </c>
      <c r="AK178">
        <v>20</v>
      </c>
      <c r="AL178" t="s">
        <v>2600</v>
      </c>
      <c r="AM178" t="s">
        <v>2601</v>
      </c>
      <c r="AN178" t="s">
        <v>2602</v>
      </c>
      <c r="AO178" t="s">
        <v>2603</v>
      </c>
      <c r="AP178" t="s">
        <v>2619</v>
      </c>
      <c r="AQ178" t="s">
        <v>74</v>
      </c>
      <c r="AR178" t="s">
        <v>2604</v>
      </c>
      <c r="AS178" t="s">
        <v>2605</v>
      </c>
      <c r="AT178" t="s">
        <v>2584</v>
      </c>
      <c r="AU178">
        <v>2004</v>
      </c>
      <c r="AV178">
        <v>36</v>
      </c>
      <c r="AW178">
        <v>4</v>
      </c>
      <c r="AX178" t="s">
        <v>74</v>
      </c>
      <c r="AY178" t="s">
        <v>74</v>
      </c>
      <c r="AZ178" t="s">
        <v>74</v>
      </c>
      <c r="BA178" t="s">
        <v>74</v>
      </c>
      <c r="BB178">
        <v>518</v>
      </c>
      <c r="BC178">
        <v>527</v>
      </c>
      <c r="BD178" t="s">
        <v>74</v>
      </c>
      <c r="BE178" t="s">
        <v>2812</v>
      </c>
      <c r="BF178" t="str">
        <f>HYPERLINK("http://dx.doi.org/10.1657/1523-0430(2004)036[0518:PDAIOF]2.0.CO;2","http://dx.doi.org/10.1657/1523-0430(2004)036[0518:PDAIOF]2.0.CO;2")</f>
        <v>http://dx.doi.org/10.1657/1523-0430(2004)036[0518:PDAIOF]2.0.CO;2</v>
      </c>
      <c r="BG178" t="s">
        <v>74</v>
      </c>
      <c r="BH178" t="s">
        <v>74</v>
      </c>
      <c r="BI178">
        <v>10</v>
      </c>
      <c r="BJ178" t="s">
        <v>2607</v>
      </c>
      <c r="BK178" t="s">
        <v>139</v>
      </c>
      <c r="BL178" t="s">
        <v>1557</v>
      </c>
      <c r="BM178" t="s">
        <v>2608</v>
      </c>
      <c r="BN178" t="s">
        <v>74</v>
      </c>
      <c r="BO178" t="s">
        <v>988</v>
      </c>
      <c r="BP178" t="s">
        <v>74</v>
      </c>
      <c r="BQ178" t="s">
        <v>74</v>
      </c>
      <c r="BR178" t="s">
        <v>98</v>
      </c>
      <c r="BS178" t="s">
        <v>2813</v>
      </c>
      <c r="BT178" t="str">
        <f>HYPERLINK("https%3A%2F%2Fwww.webofscience.com%2Fwos%2Fwoscc%2Ffull-record%2FWOS:000227702800019","View Full Record in Web of Science")</f>
        <v>View Full Record in Web of Science</v>
      </c>
    </row>
    <row r="179" spans="1:72" x14ac:dyDescent="0.15">
      <c r="A179" t="s">
        <v>122</v>
      </c>
      <c r="B179" t="s">
        <v>2814</v>
      </c>
      <c r="C179" t="s">
        <v>74</v>
      </c>
      <c r="D179" t="s">
        <v>74</v>
      </c>
      <c r="E179" t="s">
        <v>74</v>
      </c>
      <c r="F179" t="s">
        <v>2814</v>
      </c>
      <c r="G179" t="s">
        <v>74</v>
      </c>
      <c r="H179" t="s">
        <v>74</v>
      </c>
      <c r="I179" t="s">
        <v>2815</v>
      </c>
      <c r="J179" t="s">
        <v>2591</v>
      </c>
      <c r="K179" t="s">
        <v>74</v>
      </c>
      <c r="L179" t="s">
        <v>74</v>
      </c>
      <c r="M179" t="s">
        <v>79</v>
      </c>
      <c r="N179" t="s">
        <v>126</v>
      </c>
      <c r="O179" t="s">
        <v>74</v>
      </c>
      <c r="P179" t="s">
        <v>74</v>
      </c>
      <c r="Q179" t="s">
        <v>74</v>
      </c>
      <c r="R179" t="s">
        <v>74</v>
      </c>
      <c r="S179" t="s">
        <v>74</v>
      </c>
      <c r="T179" t="s">
        <v>74</v>
      </c>
      <c r="U179" t="s">
        <v>2816</v>
      </c>
      <c r="V179" t="s">
        <v>2817</v>
      </c>
      <c r="W179" t="s">
        <v>2818</v>
      </c>
      <c r="X179" t="s">
        <v>2819</v>
      </c>
      <c r="Y179" t="s">
        <v>2820</v>
      </c>
      <c r="Z179" t="s">
        <v>74</v>
      </c>
      <c r="AA179" t="s">
        <v>2821</v>
      </c>
      <c r="AB179" t="s">
        <v>2822</v>
      </c>
      <c r="AC179" t="s">
        <v>74</v>
      </c>
      <c r="AD179" t="s">
        <v>74</v>
      </c>
      <c r="AE179" t="s">
        <v>74</v>
      </c>
      <c r="AF179" t="s">
        <v>74</v>
      </c>
      <c r="AG179">
        <v>52</v>
      </c>
      <c r="AH179">
        <v>34</v>
      </c>
      <c r="AI179">
        <v>40</v>
      </c>
      <c r="AJ179">
        <v>0</v>
      </c>
      <c r="AK179">
        <v>53</v>
      </c>
      <c r="AL179" t="s">
        <v>1644</v>
      </c>
      <c r="AM179" t="s">
        <v>1645</v>
      </c>
      <c r="AN179" t="s">
        <v>1646</v>
      </c>
      <c r="AO179" t="s">
        <v>2603</v>
      </c>
      <c r="AP179" t="s">
        <v>2619</v>
      </c>
      <c r="AQ179" t="s">
        <v>74</v>
      </c>
      <c r="AR179" t="s">
        <v>2604</v>
      </c>
      <c r="AS179" t="s">
        <v>2605</v>
      </c>
      <c r="AT179" t="s">
        <v>2584</v>
      </c>
      <c r="AU179">
        <v>2004</v>
      </c>
      <c r="AV179">
        <v>36</v>
      </c>
      <c r="AW179">
        <v>4</v>
      </c>
      <c r="AX179" t="s">
        <v>74</v>
      </c>
      <c r="AY179" t="s">
        <v>74</v>
      </c>
      <c r="AZ179" t="s">
        <v>74</v>
      </c>
      <c r="BA179" t="s">
        <v>74</v>
      </c>
      <c r="BB179">
        <v>528</v>
      </c>
      <c r="BC179">
        <v>538</v>
      </c>
      <c r="BD179" t="s">
        <v>74</v>
      </c>
      <c r="BE179" t="s">
        <v>2823</v>
      </c>
      <c r="BF179" t="str">
        <f>HYPERLINK("http://dx.doi.org/10.1657/1523-0430(2004)036[0528:IOVTAW]2.0.CO;2","http://dx.doi.org/10.1657/1523-0430(2004)036[0528:IOVTAW]2.0.CO;2")</f>
        <v>http://dx.doi.org/10.1657/1523-0430(2004)036[0528:IOVTAW]2.0.CO;2</v>
      </c>
      <c r="BG179" t="s">
        <v>74</v>
      </c>
      <c r="BH179" t="s">
        <v>74</v>
      </c>
      <c r="BI179">
        <v>11</v>
      </c>
      <c r="BJ179" t="s">
        <v>2607</v>
      </c>
      <c r="BK179" t="s">
        <v>139</v>
      </c>
      <c r="BL179" t="s">
        <v>1557</v>
      </c>
      <c r="BM179" t="s">
        <v>2608</v>
      </c>
      <c r="BN179" t="s">
        <v>74</v>
      </c>
      <c r="BO179" t="s">
        <v>1866</v>
      </c>
      <c r="BP179" t="s">
        <v>74</v>
      </c>
      <c r="BQ179" t="s">
        <v>74</v>
      </c>
      <c r="BR179" t="s">
        <v>98</v>
      </c>
      <c r="BS179" t="s">
        <v>2824</v>
      </c>
      <c r="BT179" t="str">
        <f>HYPERLINK("https%3A%2F%2Fwww.webofscience.com%2Fwos%2Fwoscc%2Ffull-record%2FWOS:000227702800020","View Full Record in Web of Science")</f>
        <v>View Full Record in Web of Science</v>
      </c>
    </row>
    <row r="180" spans="1:72" x14ac:dyDescent="0.15">
      <c r="A180" t="s">
        <v>122</v>
      </c>
      <c r="B180" t="s">
        <v>2825</v>
      </c>
      <c r="C180" t="s">
        <v>74</v>
      </c>
      <c r="D180" t="s">
        <v>74</v>
      </c>
      <c r="E180" t="s">
        <v>74</v>
      </c>
      <c r="F180" t="s">
        <v>2825</v>
      </c>
      <c r="G180" t="s">
        <v>74</v>
      </c>
      <c r="H180" t="s">
        <v>74</v>
      </c>
      <c r="I180" t="s">
        <v>2826</v>
      </c>
      <c r="J180" t="s">
        <v>2591</v>
      </c>
      <c r="K180" t="s">
        <v>74</v>
      </c>
      <c r="L180" t="s">
        <v>74</v>
      </c>
      <c r="M180" t="s">
        <v>79</v>
      </c>
      <c r="N180" t="s">
        <v>126</v>
      </c>
      <c r="O180" t="s">
        <v>74</v>
      </c>
      <c r="P180" t="s">
        <v>74</v>
      </c>
      <c r="Q180" t="s">
        <v>74</v>
      </c>
      <c r="R180" t="s">
        <v>74</v>
      </c>
      <c r="S180" t="s">
        <v>74</v>
      </c>
      <c r="T180" t="s">
        <v>74</v>
      </c>
      <c r="U180" t="s">
        <v>2827</v>
      </c>
      <c r="V180" t="s">
        <v>2828</v>
      </c>
      <c r="W180" t="s">
        <v>2829</v>
      </c>
      <c r="X180" t="s">
        <v>2830</v>
      </c>
      <c r="Y180" t="s">
        <v>2831</v>
      </c>
      <c r="Z180" t="s">
        <v>2832</v>
      </c>
      <c r="AA180" t="s">
        <v>74</v>
      </c>
      <c r="AB180" t="s">
        <v>74</v>
      </c>
      <c r="AC180" t="s">
        <v>74</v>
      </c>
      <c r="AD180" t="s">
        <v>74</v>
      </c>
      <c r="AE180" t="s">
        <v>74</v>
      </c>
      <c r="AF180" t="s">
        <v>74</v>
      </c>
      <c r="AG180">
        <v>31</v>
      </c>
      <c r="AH180">
        <v>3</v>
      </c>
      <c r="AI180">
        <v>4</v>
      </c>
      <c r="AJ180">
        <v>0</v>
      </c>
      <c r="AK180">
        <v>4</v>
      </c>
      <c r="AL180" t="s">
        <v>1644</v>
      </c>
      <c r="AM180" t="s">
        <v>1645</v>
      </c>
      <c r="AN180" t="s">
        <v>1646</v>
      </c>
      <c r="AO180" t="s">
        <v>2603</v>
      </c>
      <c r="AP180" t="s">
        <v>2619</v>
      </c>
      <c r="AQ180" t="s">
        <v>74</v>
      </c>
      <c r="AR180" t="s">
        <v>2604</v>
      </c>
      <c r="AS180" t="s">
        <v>2605</v>
      </c>
      <c r="AT180" t="s">
        <v>2584</v>
      </c>
      <c r="AU180">
        <v>2004</v>
      </c>
      <c r="AV180">
        <v>36</v>
      </c>
      <c r="AW180">
        <v>4</v>
      </c>
      <c r="AX180" t="s">
        <v>74</v>
      </c>
      <c r="AY180" t="s">
        <v>74</v>
      </c>
      <c r="AZ180" t="s">
        <v>74</v>
      </c>
      <c r="BA180" t="s">
        <v>74</v>
      </c>
      <c r="BB180">
        <v>539</v>
      </c>
      <c r="BC180">
        <v>554</v>
      </c>
      <c r="BD180" t="s">
        <v>74</v>
      </c>
      <c r="BE180" t="s">
        <v>2833</v>
      </c>
      <c r="BF180" t="str">
        <f>HYPERLINK("http://dx.doi.org/10.1657/1523-0430(2004)036[0539:ACDISF]2.0.CO;2","http://dx.doi.org/10.1657/1523-0430(2004)036[0539:ACDISF]2.0.CO;2")</f>
        <v>http://dx.doi.org/10.1657/1523-0430(2004)036[0539:ACDISF]2.0.CO;2</v>
      </c>
      <c r="BG180" t="s">
        <v>74</v>
      </c>
      <c r="BH180" t="s">
        <v>74</v>
      </c>
      <c r="BI180">
        <v>16</v>
      </c>
      <c r="BJ180" t="s">
        <v>2607</v>
      </c>
      <c r="BK180" t="s">
        <v>139</v>
      </c>
      <c r="BL180" t="s">
        <v>1557</v>
      </c>
      <c r="BM180" t="s">
        <v>2608</v>
      </c>
      <c r="BN180" t="s">
        <v>74</v>
      </c>
      <c r="BO180" t="s">
        <v>1866</v>
      </c>
      <c r="BP180" t="s">
        <v>74</v>
      </c>
      <c r="BQ180" t="s">
        <v>74</v>
      </c>
      <c r="BR180" t="s">
        <v>98</v>
      </c>
      <c r="BS180" t="s">
        <v>2834</v>
      </c>
      <c r="BT180" t="str">
        <f>HYPERLINK("https%3A%2F%2Fwww.webofscience.com%2Fwos%2Fwoscc%2Ffull-record%2FWOS:000227702800021","View Full Record in Web of Science")</f>
        <v>View Full Record in Web of Science</v>
      </c>
    </row>
    <row r="181" spans="1:72" x14ac:dyDescent="0.15">
      <c r="A181" t="s">
        <v>122</v>
      </c>
      <c r="B181" t="s">
        <v>2835</v>
      </c>
      <c r="C181" t="s">
        <v>74</v>
      </c>
      <c r="D181" t="s">
        <v>74</v>
      </c>
      <c r="E181" t="s">
        <v>74</v>
      </c>
      <c r="F181" t="s">
        <v>2835</v>
      </c>
      <c r="G181" t="s">
        <v>74</v>
      </c>
      <c r="H181" t="s">
        <v>74</v>
      </c>
      <c r="I181" t="s">
        <v>2836</v>
      </c>
      <c r="J181" t="s">
        <v>2591</v>
      </c>
      <c r="K181" t="s">
        <v>74</v>
      </c>
      <c r="L181" t="s">
        <v>74</v>
      </c>
      <c r="M181" t="s">
        <v>79</v>
      </c>
      <c r="N181" t="s">
        <v>126</v>
      </c>
      <c r="O181" t="s">
        <v>74</v>
      </c>
      <c r="P181" t="s">
        <v>74</v>
      </c>
      <c r="Q181" t="s">
        <v>74</v>
      </c>
      <c r="R181" t="s">
        <v>74</v>
      </c>
      <c r="S181" t="s">
        <v>74</v>
      </c>
      <c r="T181" t="s">
        <v>74</v>
      </c>
      <c r="U181" t="s">
        <v>2837</v>
      </c>
      <c r="V181" t="s">
        <v>2838</v>
      </c>
      <c r="W181" t="s">
        <v>2839</v>
      </c>
      <c r="X181" t="s">
        <v>2840</v>
      </c>
      <c r="Y181" t="s">
        <v>2841</v>
      </c>
      <c r="Z181" t="s">
        <v>2842</v>
      </c>
      <c r="AA181" t="s">
        <v>74</v>
      </c>
      <c r="AB181" t="s">
        <v>74</v>
      </c>
      <c r="AC181" t="s">
        <v>74</v>
      </c>
      <c r="AD181" t="s">
        <v>74</v>
      </c>
      <c r="AE181" t="s">
        <v>74</v>
      </c>
      <c r="AF181" t="s">
        <v>74</v>
      </c>
      <c r="AG181">
        <v>39</v>
      </c>
      <c r="AH181">
        <v>67</v>
      </c>
      <c r="AI181">
        <v>71</v>
      </c>
      <c r="AJ181">
        <v>1</v>
      </c>
      <c r="AK181">
        <v>10</v>
      </c>
      <c r="AL181" t="s">
        <v>2600</v>
      </c>
      <c r="AM181" t="s">
        <v>2601</v>
      </c>
      <c r="AN181" t="s">
        <v>2602</v>
      </c>
      <c r="AO181" t="s">
        <v>2603</v>
      </c>
      <c r="AP181" t="s">
        <v>2619</v>
      </c>
      <c r="AQ181" t="s">
        <v>74</v>
      </c>
      <c r="AR181" t="s">
        <v>2604</v>
      </c>
      <c r="AS181" t="s">
        <v>2605</v>
      </c>
      <c r="AT181" t="s">
        <v>2584</v>
      </c>
      <c r="AU181">
        <v>2004</v>
      </c>
      <c r="AV181">
        <v>36</v>
      </c>
      <c r="AW181">
        <v>4</v>
      </c>
      <c r="AX181" t="s">
        <v>74</v>
      </c>
      <c r="AY181" t="s">
        <v>74</v>
      </c>
      <c r="AZ181" t="s">
        <v>74</v>
      </c>
      <c r="BA181" t="s">
        <v>74</v>
      </c>
      <c r="BB181">
        <v>555</v>
      </c>
      <c r="BC181">
        <v>564</v>
      </c>
      <c r="BD181" t="s">
        <v>74</v>
      </c>
      <c r="BE181" t="s">
        <v>2843</v>
      </c>
      <c r="BF181" t="str">
        <f>HYPERLINK("http://dx.doi.org/10.1657/1523-0430(2004)036[0555:TROHSA]2.0.CO;2","http://dx.doi.org/10.1657/1523-0430(2004)036[0555:TROHSA]2.0.CO;2")</f>
        <v>http://dx.doi.org/10.1657/1523-0430(2004)036[0555:TROHSA]2.0.CO;2</v>
      </c>
      <c r="BG181" t="s">
        <v>74</v>
      </c>
      <c r="BH181" t="s">
        <v>74</v>
      </c>
      <c r="BI181">
        <v>10</v>
      </c>
      <c r="BJ181" t="s">
        <v>2607</v>
      </c>
      <c r="BK181" t="s">
        <v>139</v>
      </c>
      <c r="BL181" t="s">
        <v>1557</v>
      </c>
      <c r="BM181" t="s">
        <v>2608</v>
      </c>
      <c r="BN181" t="s">
        <v>74</v>
      </c>
      <c r="BO181" t="s">
        <v>1866</v>
      </c>
      <c r="BP181" t="s">
        <v>74</v>
      </c>
      <c r="BQ181" t="s">
        <v>74</v>
      </c>
      <c r="BR181" t="s">
        <v>98</v>
      </c>
      <c r="BS181" t="s">
        <v>2844</v>
      </c>
      <c r="BT181" t="str">
        <f>HYPERLINK("https%3A%2F%2Fwww.webofscience.com%2Fwos%2Fwoscc%2Ffull-record%2FWOS:000227702800022","View Full Record in Web of Science")</f>
        <v>View Full Record in Web of Science</v>
      </c>
    </row>
    <row r="182" spans="1:72" x14ac:dyDescent="0.15">
      <c r="A182" t="s">
        <v>122</v>
      </c>
      <c r="B182" t="s">
        <v>2845</v>
      </c>
      <c r="C182" t="s">
        <v>74</v>
      </c>
      <c r="D182" t="s">
        <v>74</v>
      </c>
      <c r="E182" t="s">
        <v>74</v>
      </c>
      <c r="F182" t="s">
        <v>2845</v>
      </c>
      <c r="G182" t="s">
        <v>74</v>
      </c>
      <c r="H182" t="s">
        <v>74</v>
      </c>
      <c r="I182" t="s">
        <v>2846</v>
      </c>
      <c r="J182" t="s">
        <v>2591</v>
      </c>
      <c r="K182" t="s">
        <v>74</v>
      </c>
      <c r="L182" t="s">
        <v>74</v>
      </c>
      <c r="M182" t="s">
        <v>79</v>
      </c>
      <c r="N182" t="s">
        <v>126</v>
      </c>
      <c r="O182" t="s">
        <v>74</v>
      </c>
      <c r="P182" t="s">
        <v>74</v>
      </c>
      <c r="Q182" t="s">
        <v>74</v>
      </c>
      <c r="R182" t="s">
        <v>74</v>
      </c>
      <c r="S182" t="s">
        <v>74</v>
      </c>
      <c r="T182" t="s">
        <v>74</v>
      </c>
      <c r="U182" t="s">
        <v>2847</v>
      </c>
      <c r="V182" t="s">
        <v>2848</v>
      </c>
      <c r="W182" t="s">
        <v>2849</v>
      </c>
      <c r="X182" t="s">
        <v>2850</v>
      </c>
      <c r="Y182" t="s">
        <v>2851</v>
      </c>
      <c r="Z182" t="s">
        <v>2852</v>
      </c>
      <c r="AA182" t="s">
        <v>2853</v>
      </c>
      <c r="AB182" t="s">
        <v>2854</v>
      </c>
      <c r="AC182" t="s">
        <v>74</v>
      </c>
      <c r="AD182" t="s">
        <v>74</v>
      </c>
      <c r="AE182" t="s">
        <v>74</v>
      </c>
      <c r="AF182" t="s">
        <v>74</v>
      </c>
      <c r="AG182">
        <v>30</v>
      </c>
      <c r="AH182">
        <v>27</v>
      </c>
      <c r="AI182">
        <v>29</v>
      </c>
      <c r="AJ182">
        <v>0</v>
      </c>
      <c r="AK182">
        <v>9</v>
      </c>
      <c r="AL182" t="s">
        <v>1644</v>
      </c>
      <c r="AM182" t="s">
        <v>1645</v>
      </c>
      <c r="AN182" t="s">
        <v>1646</v>
      </c>
      <c r="AO182" t="s">
        <v>2603</v>
      </c>
      <c r="AP182" t="s">
        <v>2619</v>
      </c>
      <c r="AQ182" t="s">
        <v>74</v>
      </c>
      <c r="AR182" t="s">
        <v>2604</v>
      </c>
      <c r="AS182" t="s">
        <v>2605</v>
      </c>
      <c r="AT182" t="s">
        <v>2584</v>
      </c>
      <c r="AU182">
        <v>2004</v>
      </c>
      <c r="AV182">
        <v>36</v>
      </c>
      <c r="AW182">
        <v>4</v>
      </c>
      <c r="AX182" t="s">
        <v>74</v>
      </c>
      <c r="AY182" t="s">
        <v>74</v>
      </c>
      <c r="AZ182" t="s">
        <v>74</v>
      </c>
      <c r="BA182" t="s">
        <v>74</v>
      </c>
      <c r="BB182">
        <v>565</v>
      </c>
      <c r="BC182">
        <v>574</v>
      </c>
      <c r="BD182" t="s">
        <v>74</v>
      </c>
      <c r="BE182" t="s">
        <v>2855</v>
      </c>
      <c r="BF182" t="str">
        <f>HYPERLINK("http://dx.doi.org/10.1657/1523-0430(2004)036[0565:GVOSPP]2.0.CO;2","http://dx.doi.org/10.1657/1523-0430(2004)036[0565:GVOSPP]2.0.CO;2")</f>
        <v>http://dx.doi.org/10.1657/1523-0430(2004)036[0565:GVOSPP]2.0.CO;2</v>
      </c>
      <c r="BG182" t="s">
        <v>74</v>
      </c>
      <c r="BH182" t="s">
        <v>74</v>
      </c>
      <c r="BI182">
        <v>10</v>
      </c>
      <c r="BJ182" t="s">
        <v>2607</v>
      </c>
      <c r="BK182" t="s">
        <v>139</v>
      </c>
      <c r="BL182" t="s">
        <v>1557</v>
      </c>
      <c r="BM182" t="s">
        <v>2608</v>
      </c>
      <c r="BN182" t="s">
        <v>74</v>
      </c>
      <c r="BO182" t="s">
        <v>74</v>
      </c>
      <c r="BP182" t="s">
        <v>74</v>
      </c>
      <c r="BQ182" t="s">
        <v>74</v>
      </c>
      <c r="BR182" t="s">
        <v>98</v>
      </c>
      <c r="BS182" t="s">
        <v>2856</v>
      </c>
      <c r="BT182" t="str">
        <f>HYPERLINK("https%3A%2F%2Fwww.webofscience.com%2Fwos%2Fwoscc%2Ffull-record%2FWOS:000227702800023","View Full Record in Web of Science")</f>
        <v>View Full Record in Web of Science</v>
      </c>
    </row>
    <row r="183" spans="1:72" x14ac:dyDescent="0.15">
      <c r="A183" t="s">
        <v>122</v>
      </c>
      <c r="B183" t="s">
        <v>2857</v>
      </c>
      <c r="C183" t="s">
        <v>74</v>
      </c>
      <c r="D183" t="s">
        <v>74</v>
      </c>
      <c r="E183" t="s">
        <v>74</v>
      </c>
      <c r="F183" t="s">
        <v>2857</v>
      </c>
      <c r="G183" t="s">
        <v>74</v>
      </c>
      <c r="H183" t="s">
        <v>74</v>
      </c>
      <c r="I183" t="s">
        <v>2858</v>
      </c>
      <c r="J183" t="s">
        <v>2591</v>
      </c>
      <c r="K183" t="s">
        <v>74</v>
      </c>
      <c r="L183" t="s">
        <v>74</v>
      </c>
      <c r="M183" t="s">
        <v>79</v>
      </c>
      <c r="N183" t="s">
        <v>126</v>
      </c>
      <c r="O183" t="s">
        <v>74</v>
      </c>
      <c r="P183" t="s">
        <v>74</v>
      </c>
      <c r="Q183" t="s">
        <v>74</v>
      </c>
      <c r="R183" t="s">
        <v>74</v>
      </c>
      <c r="S183" t="s">
        <v>74</v>
      </c>
      <c r="T183" t="s">
        <v>74</v>
      </c>
      <c r="U183" t="s">
        <v>2859</v>
      </c>
      <c r="V183" t="s">
        <v>2860</v>
      </c>
      <c r="W183" t="s">
        <v>2861</v>
      </c>
      <c r="X183" t="s">
        <v>2862</v>
      </c>
      <c r="Y183" t="s">
        <v>2863</v>
      </c>
      <c r="Z183" t="s">
        <v>2864</v>
      </c>
      <c r="AA183" t="s">
        <v>2865</v>
      </c>
      <c r="AB183" t="s">
        <v>74</v>
      </c>
      <c r="AC183" t="s">
        <v>74</v>
      </c>
      <c r="AD183" t="s">
        <v>74</v>
      </c>
      <c r="AE183" t="s">
        <v>74</v>
      </c>
      <c r="AF183" t="s">
        <v>74</v>
      </c>
      <c r="AG183">
        <v>34</v>
      </c>
      <c r="AH183">
        <v>25</v>
      </c>
      <c r="AI183">
        <v>32</v>
      </c>
      <c r="AJ183">
        <v>0</v>
      </c>
      <c r="AK183">
        <v>14</v>
      </c>
      <c r="AL183" t="s">
        <v>2600</v>
      </c>
      <c r="AM183" t="s">
        <v>2601</v>
      </c>
      <c r="AN183" t="s">
        <v>2602</v>
      </c>
      <c r="AO183" t="s">
        <v>2603</v>
      </c>
      <c r="AP183" t="s">
        <v>2619</v>
      </c>
      <c r="AQ183" t="s">
        <v>74</v>
      </c>
      <c r="AR183" t="s">
        <v>2604</v>
      </c>
      <c r="AS183" t="s">
        <v>2605</v>
      </c>
      <c r="AT183" t="s">
        <v>2584</v>
      </c>
      <c r="AU183">
        <v>2004</v>
      </c>
      <c r="AV183">
        <v>36</v>
      </c>
      <c r="AW183">
        <v>4</v>
      </c>
      <c r="AX183" t="s">
        <v>74</v>
      </c>
      <c r="AY183" t="s">
        <v>74</v>
      </c>
      <c r="AZ183" t="s">
        <v>74</v>
      </c>
      <c r="BA183" t="s">
        <v>74</v>
      </c>
      <c r="BB183">
        <v>575</v>
      </c>
      <c r="BC183">
        <v>583</v>
      </c>
      <c r="BD183" t="s">
        <v>74</v>
      </c>
      <c r="BE183" t="s">
        <v>2866</v>
      </c>
      <c r="BF183" t="str">
        <f>HYPERLINK("http://dx.doi.org/10.1657/1523-0430(2004)036[0575:CRDFGG]2.0.CO;2","http://dx.doi.org/10.1657/1523-0430(2004)036[0575:CRDFGG]2.0.CO;2")</f>
        <v>http://dx.doi.org/10.1657/1523-0430(2004)036[0575:CRDFGG]2.0.CO;2</v>
      </c>
      <c r="BG183" t="s">
        <v>74</v>
      </c>
      <c r="BH183" t="s">
        <v>74</v>
      </c>
      <c r="BI183">
        <v>9</v>
      </c>
      <c r="BJ183" t="s">
        <v>2607</v>
      </c>
      <c r="BK183" t="s">
        <v>139</v>
      </c>
      <c r="BL183" t="s">
        <v>1557</v>
      </c>
      <c r="BM183" t="s">
        <v>2608</v>
      </c>
      <c r="BN183" t="s">
        <v>74</v>
      </c>
      <c r="BO183" t="s">
        <v>2867</v>
      </c>
      <c r="BP183" t="s">
        <v>74</v>
      </c>
      <c r="BQ183" t="s">
        <v>74</v>
      </c>
      <c r="BR183" t="s">
        <v>98</v>
      </c>
      <c r="BS183" t="s">
        <v>2868</v>
      </c>
      <c r="BT183" t="str">
        <f>HYPERLINK("https%3A%2F%2Fwww.webofscience.com%2Fwos%2Fwoscc%2Ffull-record%2FWOS:000227702800024","View Full Record in Web of Science")</f>
        <v>View Full Record in Web of Science</v>
      </c>
    </row>
    <row r="184" spans="1:72" x14ac:dyDescent="0.15">
      <c r="A184" t="s">
        <v>122</v>
      </c>
      <c r="B184" t="s">
        <v>2869</v>
      </c>
      <c r="C184" t="s">
        <v>74</v>
      </c>
      <c r="D184" t="s">
        <v>74</v>
      </c>
      <c r="E184" t="s">
        <v>74</v>
      </c>
      <c r="F184" t="s">
        <v>2869</v>
      </c>
      <c r="G184" t="s">
        <v>74</v>
      </c>
      <c r="H184" t="s">
        <v>74</v>
      </c>
      <c r="I184" t="s">
        <v>2870</v>
      </c>
      <c r="J184" t="s">
        <v>2591</v>
      </c>
      <c r="K184" t="s">
        <v>74</v>
      </c>
      <c r="L184" t="s">
        <v>74</v>
      </c>
      <c r="M184" t="s">
        <v>79</v>
      </c>
      <c r="N184" t="s">
        <v>126</v>
      </c>
      <c r="O184" t="s">
        <v>74</v>
      </c>
      <c r="P184" t="s">
        <v>74</v>
      </c>
      <c r="Q184" t="s">
        <v>74</v>
      </c>
      <c r="R184" t="s">
        <v>74</v>
      </c>
      <c r="S184" t="s">
        <v>74</v>
      </c>
      <c r="T184" t="s">
        <v>74</v>
      </c>
      <c r="U184" t="s">
        <v>2871</v>
      </c>
      <c r="V184" t="s">
        <v>2872</v>
      </c>
      <c r="W184" t="s">
        <v>2873</v>
      </c>
      <c r="X184" t="s">
        <v>2874</v>
      </c>
      <c r="Y184" t="s">
        <v>2875</v>
      </c>
      <c r="Z184" t="s">
        <v>2876</v>
      </c>
      <c r="AA184" t="s">
        <v>74</v>
      </c>
      <c r="AB184" t="s">
        <v>74</v>
      </c>
      <c r="AC184" t="s">
        <v>74</v>
      </c>
      <c r="AD184" t="s">
        <v>74</v>
      </c>
      <c r="AE184" t="s">
        <v>74</v>
      </c>
      <c r="AF184" t="s">
        <v>74</v>
      </c>
      <c r="AG184">
        <v>46</v>
      </c>
      <c r="AH184">
        <v>9</v>
      </c>
      <c r="AI184">
        <v>12</v>
      </c>
      <c r="AJ184">
        <v>0</v>
      </c>
      <c r="AK184">
        <v>5</v>
      </c>
      <c r="AL184" t="s">
        <v>2600</v>
      </c>
      <c r="AM184" t="s">
        <v>2601</v>
      </c>
      <c r="AN184" t="s">
        <v>2602</v>
      </c>
      <c r="AO184" t="s">
        <v>2603</v>
      </c>
      <c r="AP184" t="s">
        <v>74</v>
      </c>
      <c r="AQ184" t="s">
        <v>74</v>
      </c>
      <c r="AR184" t="s">
        <v>2604</v>
      </c>
      <c r="AS184" t="s">
        <v>2605</v>
      </c>
      <c r="AT184" t="s">
        <v>2584</v>
      </c>
      <c r="AU184">
        <v>2004</v>
      </c>
      <c r="AV184">
        <v>36</v>
      </c>
      <c r="AW184">
        <v>4</v>
      </c>
      <c r="AX184" t="s">
        <v>74</v>
      </c>
      <c r="AY184" t="s">
        <v>74</v>
      </c>
      <c r="AZ184" t="s">
        <v>74</v>
      </c>
      <c r="BA184" t="s">
        <v>74</v>
      </c>
      <c r="BB184">
        <v>584</v>
      </c>
      <c r="BC184">
        <v>590</v>
      </c>
      <c r="BD184" t="s">
        <v>74</v>
      </c>
      <c r="BE184" t="s">
        <v>2877</v>
      </c>
      <c r="BF184" t="str">
        <f>HYPERLINK("http://dx.doi.org/10.1657/1523-0430(2004)036[0584:FTACFL]2.0.CO;2","http://dx.doi.org/10.1657/1523-0430(2004)036[0584:FTACFL]2.0.CO;2")</f>
        <v>http://dx.doi.org/10.1657/1523-0430(2004)036[0584:FTACFL]2.0.CO;2</v>
      </c>
      <c r="BG184" t="s">
        <v>74</v>
      </c>
      <c r="BH184" t="s">
        <v>74</v>
      </c>
      <c r="BI184">
        <v>7</v>
      </c>
      <c r="BJ184" t="s">
        <v>2607</v>
      </c>
      <c r="BK184" t="s">
        <v>139</v>
      </c>
      <c r="BL184" t="s">
        <v>1557</v>
      </c>
      <c r="BM184" t="s">
        <v>2608</v>
      </c>
      <c r="BN184" t="s">
        <v>74</v>
      </c>
      <c r="BO184" t="s">
        <v>1866</v>
      </c>
      <c r="BP184" t="s">
        <v>74</v>
      </c>
      <c r="BQ184" t="s">
        <v>74</v>
      </c>
      <c r="BR184" t="s">
        <v>98</v>
      </c>
      <c r="BS184" t="s">
        <v>2878</v>
      </c>
      <c r="BT184" t="str">
        <f>HYPERLINK("https%3A%2F%2Fwww.webofscience.com%2Fwos%2Fwoscc%2Ffull-record%2FWOS:000227702800025","View Full Record in Web of Science")</f>
        <v>View Full Record in Web of Science</v>
      </c>
    </row>
    <row r="185" spans="1:72" x14ac:dyDescent="0.15">
      <c r="A185" t="s">
        <v>122</v>
      </c>
      <c r="B185" t="s">
        <v>2879</v>
      </c>
      <c r="C185" t="s">
        <v>74</v>
      </c>
      <c r="D185" t="s">
        <v>74</v>
      </c>
      <c r="E185" t="s">
        <v>74</v>
      </c>
      <c r="F185" t="s">
        <v>2879</v>
      </c>
      <c r="G185" t="s">
        <v>74</v>
      </c>
      <c r="H185" t="s">
        <v>74</v>
      </c>
      <c r="I185" t="s">
        <v>2880</v>
      </c>
      <c r="J185" t="s">
        <v>2591</v>
      </c>
      <c r="K185" t="s">
        <v>74</v>
      </c>
      <c r="L185" t="s">
        <v>74</v>
      </c>
      <c r="M185" t="s">
        <v>79</v>
      </c>
      <c r="N185" t="s">
        <v>126</v>
      </c>
      <c r="O185" t="s">
        <v>74</v>
      </c>
      <c r="P185" t="s">
        <v>74</v>
      </c>
      <c r="Q185" t="s">
        <v>74</v>
      </c>
      <c r="R185" t="s">
        <v>74</v>
      </c>
      <c r="S185" t="s">
        <v>74</v>
      </c>
      <c r="T185" t="s">
        <v>74</v>
      </c>
      <c r="U185" t="s">
        <v>2881</v>
      </c>
      <c r="V185" t="s">
        <v>2882</v>
      </c>
      <c r="W185" t="s">
        <v>2883</v>
      </c>
      <c r="X185" t="s">
        <v>2884</v>
      </c>
      <c r="Y185" t="s">
        <v>2885</v>
      </c>
      <c r="Z185" t="s">
        <v>2886</v>
      </c>
      <c r="AA185" t="s">
        <v>2887</v>
      </c>
      <c r="AB185" t="s">
        <v>2888</v>
      </c>
      <c r="AC185" t="s">
        <v>74</v>
      </c>
      <c r="AD185" t="s">
        <v>74</v>
      </c>
      <c r="AE185" t="s">
        <v>74</v>
      </c>
      <c r="AF185" t="s">
        <v>74</v>
      </c>
      <c r="AG185">
        <v>31</v>
      </c>
      <c r="AH185">
        <v>11</v>
      </c>
      <c r="AI185">
        <v>13</v>
      </c>
      <c r="AJ185">
        <v>0</v>
      </c>
      <c r="AK185">
        <v>15</v>
      </c>
      <c r="AL185" t="s">
        <v>2600</v>
      </c>
      <c r="AM185" t="s">
        <v>2601</v>
      </c>
      <c r="AN185" t="s">
        <v>2602</v>
      </c>
      <c r="AO185" t="s">
        <v>2603</v>
      </c>
      <c r="AP185" t="s">
        <v>74</v>
      </c>
      <c r="AQ185" t="s">
        <v>74</v>
      </c>
      <c r="AR185" t="s">
        <v>2604</v>
      </c>
      <c r="AS185" t="s">
        <v>2605</v>
      </c>
      <c r="AT185" t="s">
        <v>2584</v>
      </c>
      <c r="AU185">
        <v>2004</v>
      </c>
      <c r="AV185">
        <v>36</v>
      </c>
      <c r="AW185">
        <v>4</v>
      </c>
      <c r="AX185" t="s">
        <v>74</v>
      </c>
      <c r="AY185" t="s">
        <v>74</v>
      </c>
      <c r="AZ185" t="s">
        <v>74</v>
      </c>
      <c r="BA185" t="s">
        <v>74</v>
      </c>
      <c r="BB185">
        <v>591</v>
      </c>
      <c r="BC185">
        <v>597</v>
      </c>
      <c r="BD185" t="s">
        <v>74</v>
      </c>
      <c r="BE185" t="s">
        <v>2889</v>
      </c>
      <c r="BF185" t="str">
        <f>HYPERLINK("http://dx.doi.org/10.1657/1523-0430(2004)036[0591:GIPITR]2.0.CO;2","http://dx.doi.org/10.1657/1523-0430(2004)036[0591:GIPITR]2.0.CO;2")</f>
        <v>http://dx.doi.org/10.1657/1523-0430(2004)036[0591:GIPITR]2.0.CO;2</v>
      </c>
      <c r="BG185" t="s">
        <v>74</v>
      </c>
      <c r="BH185" t="s">
        <v>74</v>
      </c>
      <c r="BI185">
        <v>7</v>
      </c>
      <c r="BJ185" t="s">
        <v>2607</v>
      </c>
      <c r="BK185" t="s">
        <v>139</v>
      </c>
      <c r="BL185" t="s">
        <v>1557</v>
      </c>
      <c r="BM185" t="s">
        <v>2608</v>
      </c>
      <c r="BN185" t="s">
        <v>74</v>
      </c>
      <c r="BO185" t="s">
        <v>1866</v>
      </c>
      <c r="BP185" t="s">
        <v>74</v>
      </c>
      <c r="BQ185" t="s">
        <v>74</v>
      </c>
      <c r="BR185" t="s">
        <v>98</v>
      </c>
      <c r="BS185" t="s">
        <v>2890</v>
      </c>
      <c r="BT185" t="str">
        <f>HYPERLINK("https%3A%2F%2Fwww.webofscience.com%2Fwos%2Fwoscc%2Ffull-record%2FWOS:000227702800026","View Full Record in Web of Science")</f>
        <v>View Full Record in Web of Science</v>
      </c>
    </row>
    <row r="186" spans="1:72" x14ac:dyDescent="0.15">
      <c r="A186" t="s">
        <v>122</v>
      </c>
      <c r="B186" t="s">
        <v>2891</v>
      </c>
      <c r="C186" t="s">
        <v>74</v>
      </c>
      <c r="D186" t="s">
        <v>74</v>
      </c>
      <c r="E186" t="s">
        <v>74</v>
      </c>
      <c r="F186" t="s">
        <v>2891</v>
      </c>
      <c r="G186" t="s">
        <v>74</v>
      </c>
      <c r="H186" t="s">
        <v>74</v>
      </c>
      <c r="I186" t="s">
        <v>2892</v>
      </c>
      <c r="J186" t="s">
        <v>2591</v>
      </c>
      <c r="K186" t="s">
        <v>74</v>
      </c>
      <c r="L186" t="s">
        <v>74</v>
      </c>
      <c r="M186" t="s">
        <v>79</v>
      </c>
      <c r="N186" t="s">
        <v>126</v>
      </c>
      <c r="O186" t="s">
        <v>74</v>
      </c>
      <c r="P186" t="s">
        <v>74</v>
      </c>
      <c r="Q186" t="s">
        <v>74</v>
      </c>
      <c r="R186" t="s">
        <v>74</v>
      </c>
      <c r="S186" t="s">
        <v>74</v>
      </c>
      <c r="T186" t="s">
        <v>74</v>
      </c>
      <c r="U186" t="s">
        <v>2893</v>
      </c>
      <c r="V186" t="s">
        <v>2894</v>
      </c>
      <c r="W186" t="s">
        <v>2895</v>
      </c>
      <c r="X186" t="s">
        <v>2649</v>
      </c>
      <c r="Y186" t="s">
        <v>2896</v>
      </c>
      <c r="Z186" t="s">
        <v>2897</v>
      </c>
      <c r="AA186" t="s">
        <v>74</v>
      </c>
      <c r="AB186" t="s">
        <v>2652</v>
      </c>
      <c r="AC186" t="s">
        <v>74</v>
      </c>
      <c r="AD186" t="s">
        <v>74</v>
      </c>
      <c r="AE186" t="s">
        <v>74</v>
      </c>
      <c r="AF186" t="s">
        <v>74</v>
      </c>
      <c r="AG186">
        <v>82</v>
      </c>
      <c r="AH186">
        <v>27</v>
      </c>
      <c r="AI186">
        <v>30</v>
      </c>
      <c r="AJ186">
        <v>0</v>
      </c>
      <c r="AK186">
        <v>17</v>
      </c>
      <c r="AL186" t="s">
        <v>1644</v>
      </c>
      <c r="AM186" t="s">
        <v>1645</v>
      </c>
      <c r="AN186" t="s">
        <v>1646</v>
      </c>
      <c r="AO186" t="s">
        <v>2603</v>
      </c>
      <c r="AP186" t="s">
        <v>2619</v>
      </c>
      <c r="AQ186" t="s">
        <v>74</v>
      </c>
      <c r="AR186" t="s">
        <v>2604</v>
      </c>
      <c r="AS186" t="s">
        <v>2605</v>
      </c>
      <c r="AT186" t="s">
        <v>2584</v>
      </c>
      <c r="AU186">
        <v>2004</v>
      </c>
      <c r="AV186">
        <v>36</v>
      </c>
      <c r="AW186">
        <v>4</v>
      </c>
      <c r="AX186" t="s">
        <v>74</v>
      </c>
      <c r="AY186" t="s">
        <v>74</v>
      </c>
      <c r="AZ186" t="s">
        <v>74</v>
      </c>
      <c r="BA186" t="s">
        <v>74</v>
      </c>
      <c r="BB186">
        <v>598</v>
      </c>
      <c r="BC186">
        <v>606</v>
      </c>
      <c r="BD186" t="s">
        <v>74</v>
      </c>
      <c r="BE186" t="s">
        <v>2898</v>
      </c>
      <c r="BF186" t="str">
        <f>HYPERLINK("http://dx.doi.org/10.1657/1523-0430(2004)036[0598:DMBRSP]2.0.CO;2","http://dx.doi.org/10.1657/1523-0430(2004)036[0598:DMBRSP]2.0.CO;2")</f>
        <v>http://dx.doi.org/10.1657/1523-0430(2004)036[0598:DMBRSP]2.0.CO;2</v>
      </c>
      <c r="BG186" t="s">
        <v>74</v>
      </c>
      <c r="BH186" t="s">
        <v>74</v>
      </c>
      <c r="BI186">
        <v>9</v>
      </c>
      <c r="BJ186" t="s">
        <v>2607</v>
      </c>
      <c r="BK186" t="s">
        <v>139</v>
      </c>
      <c r="BL186" t="s">
        <v>1557</v>
      </c>
      <c r="BM186" t="s">
        <v>2608</v>
      </c>
      <c r="BN186" t="s">
        <v>74</v>
      </c>
      <c r="BO186" t="s">
        <v>1866</v>
      </c>
      <c r="BP186" t="s">
        <v>74</v>
      </c>
      <c r="BQ186" t="s">
        <v>74</v>
      </c>
      <c r="BR186" t="s">
        <v>98</v>
      </c>
      <c r="BS186" t="s">
        <v>2899</v>
      </c>
      <c r="BT186" t="str">
        <f>HYPERLINK("https%3A%2F%2Fwww.webofscience.com%2Fwos%2Fwoscc%2Ffull-record%2FWOS:000227702800027","View Full Record in Web of Science")</f>
        <v>View Full Record in Web of Science</v>
      </c>
    </row>
    <row r="187" spans="1:72" x14ac:dyDescent="0.15">
      <c r="A187" t="s">
        <v>122</v>
      </c>
      <c r="B187" t="s">
        <v>2900</v>
      </c>
      <c r="C187" t="s">
        <v>74</v>
      </c>
      <c r="D187" t="s">
        <v>74</v>
      </c>
      <c r="E187" t="s">
        <v>74</v>
      </c>
      <c r="F187" t="s">
        <v>2900</v>
      </c>
      <c r="G187" t="s">
        <v>74</v>
      </c>
      <c r="H187" t="s">
        <v>74</v>
      </c>
      <c r="I187" t="s">
        <v>2901</v>
      </c>
      <c r="J187" t="s">
        <v>2591</v>
      </c>
      <c r="K187" t="s">
        <v>74</v>
      </c>
      <c r="L187" t="s">
        <v>74</v>
      </c>
      <c r="M187" t="s">
        <v>79</v>
      </c>
      <c r="N187" t="s">
        <v>126</v>
      </c>
      <c r="O187" t="s">
        <v>74</v>
      </c>
      <c r="P187" t="s">
        <v>74</v>
      </c>
      <c r="Q187" t="s">
        <v>74</v>
      </c>
      <c r="R187" t="s">
        <v>74</v>
      </c>
      <c r="S187" t="s">
        <v>74</v>
      </c>
      <c r="T187" t="s">
        <v>74</v>
      </c>
      <c r="U187" t="s">
        <v>2902</v>
      </c>
      <c r="V187" t="s">
        <v>2903</v>
      </c>
      <c r="W187" t="s">
        <v>2904</v>
      </c>
      <c r="X187" t="s">
        <v>2905</v>
      </c>
      <c r="Y187" t="s">
        <v>2906</v>
      </c>
      <c r="Z187" t="s">
        <v>2907</v>
      </c>
      <c r="AA187" t="s">
        <v>2908</v>
      </c>
      <c r="AB187" t="s">
        <v>2909</v>
      </c>
      <c r="AC187" t="s">
        <v>74</v>
      </c>
      <c r="AD187" t="s">
        <v>74</v>
      </c>
      <c r="AE187" t="s">
        <v>74</v>
      </c>
      <c r="AF187" t="s">
        <v>74</v>
      </c>
      <c r="AG187">
        <v>76</v>
      </c>
      <c r="AH187">
        <v>14</v>
      </c>
      <c r="AI187">
        <v>14</v>
      </c>
      <c r="AJ187">
        <v>1</v>
      </c>
      <c r="AK187">
        <v>16</v>
      </c>
      <c r="AL187" t="s">
        <v>2600</v>
      </c>
      <c r="AM187" t="s">
        <v>2601</v>
      </c>
      <c r="AN187" t="s">
        <v>2602</v>
      </c>
      <c r="AO187" t="s">
        <v>2603</v>
      </c>
      <c r="AP187" t="s">
        <v>74</v>
      </c>
      <c r="AQ187" t="s">
        <v>74</v>
      </c>
      <c r="AR187" t="s">
        <v>2604</v>
      </c>
      <c r="AS187" t="s">
        <v>2605</v>
      </c>
      <c r="AT187" t="s">
        <v>2584</v>
      </c>
      <c r="AU187">
        <v>2004</v>
      </c>
      <c r="AV187">
        <v>36</v>
      </c>
      <c r="AW187">
        <v>4</v>
      </c>
      <c r="AX187" t="s">
        <v>74</v>
      </c>
      <c r="AY187" t="s">
        <v>74</v>
      </c>
      <c r="AZ187" t="s">
        <v>74</v>
      </c>
      <c r="BA187" t="s">
        <v>74</v>
      </c>
      <c r="BB187">
        <v>607</v>
      </c>
      <c r="BC187">
        <v>614</v>
      </c>
      <c r="BD187" t="s">
        <v>74</v>
      </c>
      <c r="BE187" t="s">
        <v>2910</v>
      </c>
      <c r="BF187" t="str">
        <f>HYPERLINK("http://dx.doi.org/10.1657/1523-0430(2004)036[0607:HHOAVA]2.0.CO;2","http://dx.doi.org/10.1657/1523-0430(2004)036[0607:HHOAVA]2.0.CO;2")</f>
        <v>http://dx.doi.org/10.1657/1523-0430(2004)036[0607:HHOAVA]2.0.CO;2</v>
      </c>
      <c r="BG187" t="s">
        <v>74</v>
      </c>
      <c r="BH187" t="s">
        <v>74</v>
      </c>
      <c r="BI187">
        <v>8</v>
      </c>
      <c r="BJ187" t="s">
        <v>2607</v>
      </c>
      <c r="BK187" t="s">
        <v>139</v>
      </c>
      <c r="BL187" t="s">
        <v>1557</v>
      </c>
      <c r="BM187" t="s">
        <v>2608</v>
      </c>
      <c r="BN187" t="s">
        <v>74</v>
      </c>
      <c r="BO187" t="s">
        <v>1866</v>
      </c>
      <c r="BP187" t="s">
        <v>74</v>
      </c>
      <c r="BQ187" t="s">
        <v>74</v>
      </c>
      <c r="BR187" t="s">
        <v>98</v>
      </c>
      <c r="BS187" t="s">
        <v>2911</v>
      </c>
      <c r="BT187" t="str">
        <f>HYPERLINK("https%3A%2F%2Fwww.webofscience.com%2Fwos%2Fwoscc%2Ffull-record%2FWOS:000227702800028","View Full Record in Web of Science")</f>
        <v>View Full Record in Web of Science</v>
      </c>
    </row>
    <row r="188" spans="1:72" x14ac:dyDescent="0.15">
      <c r="A188" t="s">
        <v>122</v>
      </c>
      <c r="B188" t="s">
        <v>2912</v>
      </c>
      <c r="C188" t="s">
        <v>74</v>
      </c>
      <c r="D188" t="s">
        <v>74</v>
      </c>
      <c r="E188" t="s">
        <v>74</v>
      </c>
      <c r="F188" t="s">
        <v>2912</v>
      </c>
      <c r="G188" t="s">
        <v>74</v>
      </c>
      <c r="H188" t="s">
        <v>74</v>
      </c>
      <c r="I188" t="s">
        <v>2913</v>
      </c>
      <c r="J188" t="s">
        <v>2591</v>
      </c>
      <c r="K188" t="s">
        <v>74</v>
      </c>
      <c r="L188" t="s">
        <v>74</v>
      </c>
      <c r="M188" t="s">
        <v>79</v>
      </c>
      <c r="N188" t="s">
        <v>126</v>
      </c>
      <c r="O188" t="s">
        <v>74</v>
      </c>
      <c r="P188" t="s">
        <v>74</v>
      </c>
      <c r="Q188" t="s">
        <v>74</v>
      </c>
      <c r="R188" t="s">
        <v>74</v>
      </c>
      <c r="S188" t="s">
        <v>74</v>
      </c>
      <c r="T188" t="s">
        <v>74</v>
      </c>
      <c r="U188" t="s">
        <v>2914</v>
      </c>
      <c r="V188" t="s">
        <v>2915</v>
      </c>
      <c r="W188" t="s">
        <v>2916</v>
      </c>
      <c r="X188" t="s">
        <v>2917</v>
      </c>
      <c r="Y188" t="s">
        <v>2918</v>
      </c>
      <c r="Z188" t="s">
        <v>2919</v>
      </c>
      <c r="AA188" t="s">
        <v>74</v>
      </c>
      <c r="AB188" t="s">
        <v>74</v>
      </c>
      <c r="AC188" t="s">
        <v>74</v>
      </c>
      <c r="AD188" t="s">
        <v>74</v>
      </c>
      <c r="AE188" t="s">
        <v>74</v>
      </c>
      <c r="AF188" t="s">
        <v>74</v>
      </c>
      <c r="AG188">
        <v>31</v>
      </c>
      <c r="AH188">
        <v>17</v>
      </c>
      <c r="AI188">
        <v>19</v>
      </c>
      <c r="AJ188">
        <v>0</v>
      </c>
      <c r="AK188">
        <v>7</v>
      </c>
      <c r="AL188" t="s">
        <v>1644</v>
      </c>
      <c r="AM188" t="s">
        <v>1645</v>
      </c>
      <c r="AN188" t="s">
        <v>1646</v>
      </c>
      <c r="AO188" t="s">
        <v>2603</v>
      </c>
      <c r="AP188" t="s">
        <v>2619</v>
      </c>
      <c r="AQ188" t="s">
        <v>74</v>
      </c>
      <c r="AR188" t="s">
        <v>2604</v>
      </c>
      <c r="AS188" t="s">
        <v>2605</v>
      </c>
      <c r="AT188" t="s">
        <v>2584</v>
      </c>
      <c r="AU188">
        <v>2004</v>
      </c>
      <c r="AV188">
        <v>36</v>
      </c>
      <c r="AW188">
        <v>4</v>
      </c>
      <c r="AX188" t="s">
        <v>74</v>
      </c>
      <c r="AY188" t="s">
        <v>74</v>
      </c>
      <c r="AZ188" t="s">
        <v>74</v>
      </c>
      <c r="BA188" t="s">
        <v>74</v>
      </c>
      <c r="BB188">
        <v>615</v>
      </c>
      <c r="BC188">
        <v>623</v>
      </c>
      <c r="BD188" t="s">
        <v>74</v>
      </c>
      <c r="BE188" t="s">
        <v>2920</v>
      </c>
      <c r="BF188" t="str">
        <f>HYPERLINK("http://dx.doi.org/10.1657/1523-0430(2004)036[0615:TOSTNI]2.0.CO;2","http://dx.doi.org/10.1657/1523-0430(2004)036[0615:TOSTNI]2.0.CO;2")</f>
        <v>http://dx.doi.org/10.1657/1523-0430(2004)036[0615:TOSTNI]2.0.CO;2</v>
      </c>
      <c r="BG188" t="s">
        <v>74</v>
      </c>
      <c r="BH188" t="s">
        <v>74</v>
      </c>
      <c r="BI188">
        <v>9</v>
      </c>
      <c r="BJ188" t="s">
        <v>2607</v>
      </c>
      <c r="BK188" t="s">
        <v>139</v>
      </c>
      <c r="BL188" t="s">
        <v>1557</v>
      </c>
      <c r="BM188" t="s">
        <v>2608</v>
      </c>
      <c r="BN188" t="s">
        <v>74</v>
      </c>
      <c r="BO188" t="s">
        <v>988</v>
      </c>
      <c r="BP188" t="s">
        <v>74</v>
      </c>
      <c r="BQ188" t="s">
        <v>74</v>
      </c>
      <c r="BR188" t="s">
        <v>98</v>
      </c>
      <c r="BS188" t="s">
        <v>2921</v>
      </c>
      <c r="BT188" t="str">
        <f>HYPERLINK("https%3A%2F%2Fwww.webofscience.com%2Fwos%2Fwoscc%2Ffull-record%2FWOS:000227702800029","View Full Record in Web of Science")</f>
        <v>View Full Record in Web of Science</v>
      </c>
    </row>
    <row r="189" spans="1:72" x14ac:dyDescent="0.15">
      <c r="A189" t="s">
        <v>122</v>
      </c>
      <c r="B189" t="s">
        <v>2922</v>
      </c>
      <c r="C189" t="s">
        <v>74</v>
      </c>
      <c r="D189" t="s">
        <v>74</v>
      </c>
      <c r="E189" t="s">
        <v>74</v>
      </c>
      <c r="F189" t="s">
        <v>2922</v>
      </c>
      <c r="G189" t="s">
        <v>74</v>
      </c>
      <c r="H189" t="s">
        <v>74</v>
      </c>
      <c r="I189" t="s">
        <v>2923</v>
      </c>
      <c r="J189" t="s">
        <v>2591</v>
      </c>
      <c r="K189" t="s">
        <v>74</v>
      </c>
      <c r="L189" t="s">
        <v>74</v>
      </c>
      <c r="M189" t="s">
        <v>79</v>
      </c>
      <c r="N189" t="s">
        <v>126</v>
      </c>
      <c r="O189" t="s">
        <v>74</v>
      </c>
      <c r="P189" t="s">
        <v>74</v>
      </c>
      <c r="Q189" t="s">
        <v>74</v>
      </c>
      <c r="R189" t="s">
        <v>74</v>
      </c>
      <c r="S189" t="s">
        <v>74</v>
      </c>
      <c r="T189" t="s">
        <v>74</v>
      </c>
      <c r="U189" t="s">
        <v>2924</v>
      </c>
      <c r="V189" t="s">
        <v>2925</v>
      </c>
      <c r="W189" t="s">
        <v>2926</v>
      </c>
      <c r="X189" t="s">
        <v>2927</v>
      </c>
      <c r="Y189" t="s">
        <v>2928</v>
      </c>
      <c r="Z189" t="s">
        <v>2929</v>
      </c>
      <c r="AA189" t="s">
        <v>2930</v>
      </c>
      <c r="AB189" t="s">
        <v>2931</v>
      </c>
      <c r="AC189" t="s">
        <v>74</v>
      </c>
      <c r="AD189" t="s">
        <v>74</v>
      </c>
      <c r="AE189" t="s">
        <v>74</v>
      </c>
      <c r="AF189" t="s">
        <v>74</v>
      </c>
      <c r="AG189">
        <v>60</v>
      </c>
      <c r="AH189">
        <v>18</v>
      </c>
      <c r="AI189">
        <v>22</v>
      </c>
      <c r="AJ189">
        <v>1</v>
      </c>
      <c r="AK189">
        <v>14</v>
      </c>
      <c r="AL189" t="s">
        <v>1644</v>
      </c>
      <c r="AM189" t="s">
        <v>1645</v>
      </c>
      <c r="AN189" t="s">
        <v>1646</v>
      </c>
      <c r="AO189" t="s">
        <v>2603</v>
      </c>
      <c r="AP189" t="s">
        <v>2619</v>
      </c>
      <c r="AQ189" t="s">
        <v>74</v>
      </c>
      <c r="AR189" t="s">
        <v>2604</v>
      </c>
      <c r="AS189" t="s">
        <v>2605</v>
      </c>
      <c r="AT189" t="s">
        <v>2584</v>
      </c>
      <c r="AU189">
        <v>2004</v>
      </c>
      <c r="AV189">
        <v>36</v>
      </c>
      <c r="AW189">
        <v>4</v>
      </c>
      <c r="AX189" t="s">
        <v>74</v>
      </c>
      <c r="AY189" t="s">
        <v>74</v>
      </c>
      <c r="AZ189" t="s">
        <v>74</v>
      </c>
      <c r="BA189" t="s">
        <v>74</v>
      </c>
      <c r="BB189">
        <v>624</v>
      </c>
      <c r="BC189">
        <v>634</v>
      </c>
      <c r="BD189" t="s">
        <v>74</v>
      </c>
      <c r="BE189" t="s">
        <v>2932</v>
      </c>
      <c r="BF189" t="str">
        <f>HYPERLINK("http://dx.doi.org/10.1657/1523-0430(2004)036[0624:IHPFDA]2.0.CO;2","http://dx.doi.org/10.1657/1523-0430(2004)036[0624:IHPFDA]2.0.CO;2")</f>
        <v>http://dx.doi.org/10.1657/1523-0430(2004)036[0624:IHPFDA]2.0.CO;2</v>
      </c>
      <c r="BG189" t="s">
        <v>74</v>
      </c>
      <c r="BH189" t="s">
        <v>74</v>
      </c>
      <c r="BI189">
        <v>11</v>
      </c>
      <c r="BJ189" t="s">
        <v>2607</v>
      </c>
      <c r="BK189" t="s">
        <v>139</v>
      </c>
      <c r="BL189" t="s">
        <v>1557</v>
      </c>
      <c r="BM189" t="s">
        <v>2608</v>
      </c>
      <c r="BN189" t="s">
        <v>74</v>
      </c>
      <c r="BO189" t="s">
        <v>988</v>
      </c>
      <c r="BP189" t="s">
        <v>74</v>
      </c>
      <c r="BQ189" t="s">
        <v>74</v>
      </c>
      <c r="BR189" t="s">
        <v>98</v>
      </c>
      <c r="BS189" t="s">
        <v>2933</v>
      </c>
      <c r="BT189" t="str">
        <f>HYPERLINK("https%3A%2F%2Fwww.webofscience.com%2Fwos%2Fwoscc%2Ffull-record%2FWOS:000227702800030","View Full Record in Web of Science")</f>
        <v>View Full Record in Web of Science</v>
      </c>
    </row>
    <row r="190" spans="1:72" x14ac:dyDescent="0.15">
      <c r="A190" t="s">
        <v>122</v>
      </c>
      <c r="B190" t="s">
        <v>2934</v>
      </c>
      <c r="C190" t="s">
        <v>74</v>
      </c>
      <c r="D190" t="s">
        <v>74</v>
      </c>
      <c r="E190" t="s">
        <v>74</v>
      </c>
      <c r="F190" t="s">
        <v>2934</v>
      </c>
      <c r="G190" t="s">
        <v>74</v>
      </c>
      <c r="H190" t="s">
        <v>74</v>
      </c>
      <c r="I190" t="s">
        <v>2935</v>
      </c>
      <c r="J190" t="s">
        <v>2936</v>
      </c>
      <c r="K190" t="s">
        <v>74</v>
      </c>
      <c r="L190" t="s">
        <v>74</v>
      </c>
      <c r="M190" t="s">
        <v>79</v>
      </c>
      <c r="N190" t="s">
        <v>126</v>
      </c>
      <c r="O190" t="s">
        <v>74</v>
      </c>
      <c r="P190" t="s">
        <v>74</v>
      </c>
      <c r="Q190" t="s">
        <v>74</v>
      </c>
      <c r="R190" t="s">
        <v>74</v>
      </c>
      <c r="S190" t="s">
        <v>74</v>
      </c>
      <c r="T190" t="s">
        <v>2937</v>
      </c>
      <c r="U190" t="s">
        <v>2938</v>
      </c>
      <c r="V190" t="s">
        <v>2939</v>
      </c>
      <c r="W190" t="s">
        <v>2940</v>
      </c>
      <c r="X190" t="s">
        <v>2941</v>
      </c>
      <c r="Y190" t="s">
        <v>2942</v>
      </c>
      <c r="Z190" t="s">
        <v>2943</v>
      </c>
      <c r="AA190" t="s">
        <v>74</v>
      </c>
      <c r="AB190" t="s">
        <v>74</v>
      </c>
      <c r="AC190" t="s">
        <v>74</v>
      </c>
      <c r="AD190" t="s">
        <v>74</v>
      </c>
      <c r="AE190" t="s">
        <v>74</v>
      </c>
      <c r="AF190" t="s">
        <v>74</v>
      </c>
      <c r="AG190">
        <v>30</v>
      </c>
      <c r="AH190">
        <v>27</v>
      </c>
      <c r="AI190">
        <v>32</v>
      </c>
      <c r="AJ190">
        <v>1</v>
      </c>
      <c r="AK190">
        <v>14</v>
      </c>
      <c r="AL190" t="s">
        <v>2944</v>
      </c>
      <c r="AM190" t="s">
        <v>1312</v>
      </c>
      <c r="AN190" t="s">
        <v>2945</v>
      </c>
      <c r="AO190" t="s">
        <v>2946</v>
      </c>
      <c r="AP190" t="s">
        <v>74</v>
      </c>
      <c r="AQ190" t="s">
        <v>74</v>
      </c>
      <c r="AR190" t="s">
        <v>2947</v>
      </c>
      <c r="AS190" t="s">
        <v>2948</v>
      </c>
      <c r="AT190" t="s">
        <v>2584</v>
      </c>
      <c r="AU190">
        <v>2004</v>
      </c>
      <c r="AV190">
        <v>75</v>
      </c>
      <c r="AW190">
        <v>11</v>
      </c>
      <c r="AX190" t="s">
        <v>74</v>
      </c>
      <c r="AY190" t="s">
        <v>74</v>
      </c>
      <c r="AZ190" t="s">
        <v>74</v>
      </c>
      <c r="BA190" t="s">
        <v>74</v>
      </c>
      <c r="BB190">
        <v>973</v>
      </c>
      <c r="BC190">
        <v>980</v>
      </c>
      <c r="BD190" t="s">
        <v>74</v>
      </c>
      <c r="BE190" t="s">
        <v>74</v>
      </c>
      <c r="BF190" t="s">
        <v>74</v>
      </c>
      <c r="BG190" t="s">
        <v>74</v>
      </c>
      <c r="BH190" t="s">
        <v>74</v>
      </c>
      <c r="BI190">
        <v>8</v>
      </c>
      <c r="BJ190" t="s">
        <v>2949</v>
      </c>
      <c r="BK190" t="s">
        <v>2950</v>
      </c>
      <c r="BL190" t="s">
        <v>2951</v>
      </c>
      <c r="BM190" t="s">
        <v>2952</v>
      </c>
      <c r="BN190">
        <v>15558998</v>
      </c>
      <c r="BO190" t="s">
        <v>74</v>
      </c>
      <c r="BP190" t="s">
        <v>74</v>
      </c>
      <c r="BQ190" t="s">
        <v>74</v>
      </c>
      <c r="BR190" t="s">
        <v>98</v>
      </c>
      <c r="BS190" t="s">
        <v>2953</v>
      </c>
      <c r="BT190" t="str">
        <f>HYPERLINK("https%3A%2F%2Fwww.webofscience.com%2Fwos%2Fwoscc%2Ffull-record%2FWOS:000224811800008","View Full Record in Web of Science")</f>
        <v>View Full Record in Web of Science</v>
      </c>
    </row>
    <row r="191" spans="1:72" x14ac:dyDescent="0.15">
      <c r="A191" t="s">
        <v>122</v>
      </c>
      <c r="B191" t="s">
        <v>2954</v>
      </c>
      <c r="C191" t="s">
        <v>74</v>
      </c>
      <c r="D191" t="s">
        <v>74</v>
      </c>
      <c r="E191" t="s">
        <v>74</v>
      </c>
      <c r="F191" t="s">
        <v>2954</v>
      </c>
      <c r="G191" t="s">
        <v>74</v>
      </c>
      <c r="H191" t="s">
        <v>74</v>
      </c>
      <c r="I191" t="s">
        <v>2955</v>
      </c>
      <c r="J191" t="s">
        <v>2956</v>
      </c>
      <c r="K191" t="s">
        <v>74</v>
      </c>
      <c r="L191" t="s">
        <v>74</v>
      </c>
      <c r="M191" t="s">
        <v>79</v>
      </c>
      <c r="N191" t="s">
        <v>126</v>
      </c>
      <c r="O191" t="s">
        <v>74</v>
      </c>
      <c r="P191" t="s">
        <v>74</v>
      </c>
      <c r="Q191" t="s">
        <v>74</v>
      </c>
      <c r="R191" t="s">
        <v>74</v>
      </c>
      <c r="S191" t="s">
        <v>74</v>
      </c>
      <c r="T191" t="s">
        <v>2957</v>
      </c>
      <c r="U191" t="s">
        <v>2958</v>
      </c>
      <c r="V191" t="s">
        <v>2959</v>
      </c>
      <c r="W191" t="s">
        <v>2960</v>
      </c>
      <c r="X191" t="s">
        <v>2961</v>
      </c>
      <c r="Y191" t="s">
        <v>2962</v>
      </c>
      <c r="Z191" t="s">
        <v>2963</v>
      </c>
      <c r="AA191" t="s">
        <v>74</v>
      </c>
      <c r="AB191" t="s">
        <v>2964</v>
      </c>
      <c r="AC191" t="s">
        <v>74</v>
      </c>
      <c r="AD191" t="s">
        <v>74</v>
      </c>
      <c r="AE191" t="s">
        <v>74</v>
      </c>
      <c r="AF191" t="s">
        <v>74</v>
      </c>
      <c r="AG191">
        <v>27</v>
      </c>
      <c r="AH191">
        <v>5</v>
      </c>
      <c r="AI191">
        <v>7</v>
      </c>
      <c r="AJ191">
        <v>1</v>
      </c>
      <c r="AK191">
        <v>5</v>
      </c>
      <c r="AL191" t="s">
        <v>1509</v>
      </c>
      <c r="AM191" t="s">
        <v>1510</v>
      </c>
      <c r="AN191" t="s">
        <v>1511</v>
      </c>
      <c r="AO191" t="s">
        <v>2965</v>
      </c>
      <c r="AP191" t="s">
        <v>2966</v>
      </c>
      <c r="AQ191" t="s">
        <v>74</v>
      </c>
      <c r="AR191" t="s">
        <v>2967</v>
      </c>
      <c r="AS191" t="s">
        <v>2968</v>
      </c>
      <c r="AT191" t="s">
        <v>2584</v>
      </c>
      <c r="AU191">
        <v>2004</v>
      </c>
      <c r="AV191">
        <v>113</v>
      </c>
      <c r="AW191">
        <v>2</v>
      </c>
      <c r="AX191" t="s">
        <v>74</v>
      </c>
      <c r="AY191" t="s">
        <v>74</v>
      </c>
      <c r="AZ191" t="s">
        <v>74</v>
      </c>
      <c r="BA191" t="s">
        <v>74</v>
      </c>
      <c r="BB191">
        <v>287</v>
      </c>
      <c r="BC191">
        <v>297</v>
      </c>
      <c r="BD191" t="s">
        <v>74</v>
      </c>
      <c r="BE191" t="s">
        <v>2969</v>
      </c>
      <c r="BF191" t="str">
        <f>HYPERLINK("http://dx.doi.org/10.1023/B:BOUN.0000039370.69708.f6","http://dx.doi.org/10.1023/B:BOUN.0000039370.69708.f6")</f>
        <v>http://dx.doi.org/10.1023/B:BOUN.0000039370.69708.f6</v>
      </c>
      <c r="BG191" t="s">
        <v>74</v>
      </c>
      <c r="BH191" t="s">
        <v>74</v>
      </c>
      <c r="BI191">
        <v>11</v>
      </c>
      <c r="BJ191" t="s">
        <v>291</v>
      </c>
      <c r="BK191" t="s">
        <v>139</v>
      </c>
      <c r="BL191" t="s">
        <v>291</v>
      </c>
      <c r="BM191" t="s">
        <v>2970</v>
      </c>
      <c r="BN191" t="s">
        <v>74</v>
      </c>
      <c r="BO191" t="s">
        <v>74</v>
      </c>
      <c r="BP191" t="s">
        <v>74</v>
      </c>
      <c r="BQ191" t="s">
        <v>74</v>
      </c>
      <c r="BR191" t="s">
        <v>98</v>
      </c>
      <c r="BS191" t="s">
        <v>2971</v>
      </c>
      <c r="BT191" t="str">
        <f>HYPERLINK("https%3A%2F%2Fwww.webofscience.com%2Fwos%2Fwoscc%2Ffull-record%2FWOS:000223515600007","View Full Record in Web of Science")</f>
        <v>View Full Record in Web of Science</v>
      </c>
    </row>
    <row r="192" spans="1:72" x14ac:dyDescent="0.15">
      <c r="A192" t="s">
        <v>122</v>
      </c>
      <c r="B192" t="s">
        <v>2972</v>
      </c>
      <c r="C192" t="s">
        <v>74</v>
      </c>
      <c r="D192" t="s">
        <v>74</v>
      </c>
      <c r="E192" t="s">
        <v>74</v>
      </c>
      <c r="F192" t="s">
        <v>2972</v>
      </c>
      <c r="G192" t="s">
        <v>74</v>
      </c>
      <c r="H192" t="s">
        <v>74</v>
      </c>
      <c r="I192" t="s">
        <v>2973</v>
      </c>
      <c r="J192" t="s">
        <v>2974</v>
      </c>
      <c r="K192" t="s">
        <v>74</v>
      </c>
      <c r="L192" t="s">
        <v>74</v>
      </c>
      <c r="M192" t="s">
        <v>79</v>
      </c>
      <c r="N192" t="s">
        <v>126</v>
      </c>
      <c r="O192" t="s">
        <v>74</v>
      </c>
      <c r="P192" t="s">
        <v>74</v>
      </c>
      <c r="Q192" t="s">
        <v>74</v>
      </c>
      <c r="R192" t="s">
        <v>74</v>
      </c>
      <c r="S192" t="s">
        <v>74</v>
      </c>
      <c r="T192" t="s">
        <v>2975</v>
      </c>
      <c r="U192" t="s">
        <v>2976</v>
      </c>
      <c r="V192" t="s">
        <v>2977</v>
      </c>
      <c r="W192" t="s">
        <v>2978</v>
      </c>
      <c r="X192" t="s">
        <v>2979</v>
      </c>
      <c r="Y192" t="s">
        <v>2980</v>
      </c>
      <c r="Z192" t="s">
        <v>2981</v>
      </c>
      <c r="AA192" t="s">
        <v>2982</v>
      </c>
      <c r="AB192" t="s">
        <v>2983</v>
      </c>
      <c r="AC192" t="s">
        <v>74</v>
      </c>
      <c r="AD192" t="s">
        <v>74</v>
      </c>
      <c r="AE192" t="s">
        <v>74</v>
      </c>
      <c r="AF192" t="s">
        <v>74</v>
      </c>
      <c r="AG192">
        <v>50</v>
      </c>
      <c r="AH192">
        <v>122</v>
      </c>
      <c r="AI192">
        <v>131</v>
      </c>
      <c r="AJ192">
        <v>1</v>
      </c>
      <c r="AK192">
        <v>30</v>
      </c>
      <c r="AL192" t="s">
        <v>1273</v>
      </c>
      <c r="AM192" t="s">
        <v>197</v>
      </c>
      <c r="AN192" t="s">
        <v>1274</v>
      </c>
      <c r="AO192" t="s">
        <v>2984</v>
      </c>
      <c r="AP192" t="s">
        <v>2985</v>
      </c>
      <c r="AQ192" t="s">
        <v>74</v>
      </c>
      <c r="AR192" t="s">
        <v>2974</v>
      </c>
      <c r="AS192" t="s">
        <v>2986</v>
      </c>
      <c r="AT192" t="s">
        <v>2584</v>
      </c>
      <c r="AU192">
        <v>2004</v>
      </c>
      <c r="AV192">
        <v>57</v>
      </c>
      <c r="AW192">
        <v>6</v>
      </c>
      <c r="AX192" t="s">
        <v>74</v>
      </c>
      <c r="AY192" t="s">
        <v>74</v>
      </c>
      <c r="AZ192" t="s">
        <v>74</v>
      </c>
      <c r="BA192" t="s">
        <v>74</v>
      </c>
      <c r="BB192">
        <v>491</v>
      </c>
      <c r="BC192">
        <v>504</v>
      </c>
      <c r="BD192" t="s">
        <v>74</v>
      </c>
      <c r="BE192" t="s">
        <v>2987</v>
      </c>
      <c r="BF192" t="str">
        <f>HYPERLINK("http://dx.doi.org/10.1016/j.chemosphere.2004.05.042","http://dx.doi.org/10.1016/j.chemosphere.2004.05.042")</f>
        <v>http://dx.doi.org/10.1016/j.chemosphere.2004.05.042</v>
      </c>
      <c r="BG192" t="s">
        <v>74</v>
      </c>
      <c r="BH192" t="s">
        <v>74</v>
      </c>
      <c r="BI192">
        <v>14</v>
      </c>
      <c r="BJ192" t="s">
        <v>2988</v>
      </c>
      <c r="BK192" t="s">
        <v>139</v>
      </c>
      <c r="BL192" t="s">
        <v>1305</v>
      </c>
      <c r="BM192" t="s">
        <v>2989</v>
      </c>
      <c r="BN192">
        <v>15350411</v>
      </c>
      <c r="BO192" t="s">
        <v>74</v>
      </c>
      <c r="BP192" t="s">
        <v>74</v>
      </c>
      <c r="BQ192" t="s">
        <v>74</v>
      </c>
      <c r="BR192" t="s">
        <v>98</v>
      </c>
      <c r="BS192" t="s">
        <v>2990</v>
      </c>
      <c r="BT192" t="str">
        <f>HYPERLINK("https%3A%2F%2Fwww.webofscience.com%2Fwos%2Fwoscc%2Ffull-record%2FWOS:000223994300008","View Full Record in Web of Science")</f>
        <v>View Full Record in Web of Science</v>
      </c>
    </row>
    <row r="193" spans="1:72" x14ac:dyDescent="0.15">
      <c r="A193" t="s">
        <v>122</v>
      </c>
      <c r="B193" t="s">
        <v>2991</v>
      </c>
      <c r="C193" t="s">
        <v>74</v>
      </c>
      <c r="D193" t="s">
        <v>74</v>
      </c>
      <c r="E193" t="s">
        <v>74</v>
      </c>
      <c r="F193" t="s">
        <v>2991</v>
      </c>
      <c r="G193" t="s">
        <v>74</v>
      </c>
      <c r="H193" t="s">
        <v>74</v>
      </c>
      <c r="I193" t="s">
        <v>2992</v>
      </c>
      <c r="J193" t="s">
        <v>2993</v>
      </c>
      <c r="K193" t="s">
        <v>74</v>
      </c>
      <c r="L193" t="s">
        <v>74</v>
      </c>
      <c r="M193" t="s">
        <v>79</v>
      </c>
      <c r="N193" t="s">
        <v>126</v>
      </c>
      <c r="O193" t="s">
        <v>74</v>
      </c>
      <c r="P193" t="s">
        <v>74</v>
      </c>
      <c r="Q193" t="s">
        <v>74</v>
      </c>
      <c r="R193" t="s">
        <v>74</v>
      </c>
      <c r="S193" t="s">
        <v>74</v>
      </c>
      <c r="T193" t="s">
        <v>74</v>
      </c>
      <c r="U193" t="s">
        <v>2994</v>
      </c>
      <c r="V193" t="s">
        <v>2995</v>
      </c>
      <c r="W193" t="s">
        <v>2996</v>
      </c>
      <c r="X193" t="s">
        <v>2997</v>
      </c>
      <c r="Y193" t="s">
        <v>2998</v>
      </c>
      <c r="Z193" t="s">
        <v>2999</v>
      </c>
      <c r="AA193" t="s">
        <v>74</v>
      </c>
      <c r="AB193" t="s">
        <v>74</v>
      </c>
      <c r="AC193" t="s">
        <v>74</v>
      </c>
      <c r="AD193" t="s">
        <v>74</v>
      </c>
      <c r="AE193" t="s">
        <v>74</v>
      </c>
      <c r="AF193" t="s">
        <v>74</v>
      </c>
      <c r="AG193">
        <v>55</v>
      </c>
      <c r="AH193">
        <v>15</v>
      </c>
      <c r="AI193">
        <v>18</v>
      </c>
      <c r="AJ193">
        <v>0</v>
      </c>
      <c r="AK193">
        <v>11</v>
      </c>
      <c r="AL193" t="s">
        <v>1509</v>
      </c>
      <c r="AM193" t="s">
        <v>1510</v>
      </c>
      <c r="AN193" t="s">
        <v>1511</v>
      </c>
      <c r="AO193" t="s">
        <v>3000</v>
      </c>
      <c r="AP193" t="s">
        <v>74</v>
      </c>
      <c r="AQ193" t="s">
        <v>74</v>
      </c>
      <c r="AR193" t="s">
        <v>2993</v>
      </c>
      <c r="AS193" t="s">
        <v>3001</v>
      </c>
      <c r="AT193" t="s">
        <v>2584</v>
      </c>
      <c r="AU193">
        <v>2004</v>
      </c>
      <c r="AV193">
        <v>67</v>
      </c>
      <c r="AW193">
        <v>1</v>
      </c>
      <c r="AX193" t="s">
        <v>74</v>
      </c>
      <c r="AY193" t="s">
        <v>74</v>
      </c>
      <c r="AZ193" t="s">
        <v>74</v>
      </c>
      <c r="BA193" t="s">
        <v>74</v>
      </c>
      <c r="BB193">
        <v>63</v>
      </c>
      <c r="BC193">
        <v>86</v>
      </c>
      <c r="BD193" t="s">
        <v>74</v>
      </c>
      <c r="BE193" t="s">
        <v>3002</v>
      </c>
      <c r="BF193" t="str">
        <f>HYPERLINK("http://dx.doi.org/10.1007/s10584-004-0708-6","http://dx.doi.org/10.1007/s10584-004-0708-6")</f>
        <v>http://dx.doi.org/10.1007/s10584-004-0708-6</v>
      </c>
      <c r="BG193" t="s">
        <v>74</v>
      </c>
      <c r="BH193" t="s">
        <v>74</v>
      </c>
      <c r="BI193">
        <v>24</v>
      </c>
      <c r="BJ193" t="s">
        <v>832</v>
      </c>
      <c r="BK193" t="s">
        <v>139</v>
      </c>
      <c r="BL193" t="s">
        <v>833</v>
      </c>
      <c r="BM193" t="s">
        <v>3003</v>
      </c>
      <c r="BN193" t="s">
        <v>74</v>
      </c>
      <c r="BO193" t="s">
        <v>74</v>
      </c>
      <c r="BP193" t="s">
        <v>74</v>
      </c>
      <c r="BQ193" t="s">
        <v>74</v>
      </c>
      <c r="BR193" t="s">
        <v>98</v>
      </c>
      <c r="BS193" t="s">
        <v>3004</v>
      </c>
      <c r="BT193" t="str">
        <f>HYPERLINK("https%3A%2F%2Fwww.webofscience.com%2Fwos%2Fwoscc%2Ffull-record%2FWOS:000226517600005","View Full Record in Web of Science")</f>
        <v>View Full Record in Web of Science</v>
      </c>
    </row>
    <row r="194" spans="1:72" x14ac:dyDescent="0.15">
      <c r="A194" t="s">
        <v>122</v>
      </c>
      <c r="B194" t="s">
        <v>3005</v>
      </c>
      <c r="C194" t="s">
        <v>74</v>
      </c>
      <c r="D194" t="s">
        <v>74</v>
      </c>
      <c r="E194" t="s">
        <v>74</v>
      </c>
      <c r="F194" t="s">
        <v>3005</v>
      </c>
      <c r="G194" t="s">
        <v>74</v>
      </c>
      <c r="H194" t="s">
        <v>74</v>
      </c>
      <c r="I194" t="s">
        <v>3006</v>
      </c>
      <c r="J194" t="s">
        <v>1240</v>
      </c>
      <c r="K194" t="s">
        <v>74</v>
      </c>
      <c r="L194" t="s">
        <v>74</v>
      </c>
      <c r="M194" t="s">
        <v>79</v>
      </c>
      <c r="N194" t="s">
        <v>126</v>
      </c>
      <c r="O194" t="s">
        <v>74</v>
      </c>
      <c r="P194" t="s">
        <v>74</v>
      </c>
      <c r="Q194" t="s">
        <v>74</v>
      </c>
      <c r="R194" t="s">
        <v>74</v>
      </c>
      <c r="S194" t="s">
        <v>74</v>
      </c>
      <c r="T194" t="s">
        <v>3007</v>
      </c>
      <c r="U194" t="s">
        <v>3008</v>
      </c>
      <c r="V194" t="s">
        <v>3009</v>
      </c>
      <c r="W194" t="s">
        <v>3010</v>
      </c>
      <c r="X194" t="s">
        <v>3011</v>
      </c>
      <c r="Y194" t="s">
        <v>3012</v>
      </c>
      <c r="Z194" t="s">
        <v>3013</v>
      </c>
      <c r="AA194" t="s">
        <v>3014</v>
      </c>
      <c r="AB194" t="s">
        <v>3015</v>
      </c>
      <c r="AC194" t="s">
        <v>74</v>
      </c>
      <c r="AD194" t="s">
        <v>74</v>
      </c>
      <c r="AE194" t="s">
        <v>74</v>
      </c>
      <c r="AF194" t="s">
        <v>74</v>
      </c>
      <c r="AG194">
        <v>49</v>
      </c>
      <c r="AH194">
        <v>52</v>
      </c>
      <c r="AI194">
        <v>64</v>
      </c>
      <c r="AJ194">
        <v>1</v>
      </c>
      <c r="AK194">
        <v>30</v>
      </c>
      <c r="AL194" t="s">
        <v>562</v>
      </c>
      <c r="AM194" t="s">
        <v>532</v>
      </c>
      <c r="AN194" t="s">
        <v>563</v>
      </c>
      <c r="AO194" t="s">
        <v>1251</v>
      </c>
      <c r="AP194" t="s">
        <v>74</v>
      </c>
      <c r="AQ194" t="s">
        <v>74</v>
      </c>
      <c r="AR194" t="s">
        <v>1253</v>
      </c>
      <c r="AS194" t="s">
        <v>1254</v>
      </c>
      <c r="AT194" t="s">
        <v>2584</v>
      </c>
      <c r="AU194">
        <v>2004</v>
      </c>
      <c r="AV194">
        <v>40</v>
      </c>
      <c r="AW194" t="s">
        <v>2537</v>
      </c>
      <c r="AX194" t="s">
        <v>74</v>
      </c>
      <c r="AY194" t="s">
        <v>74</v>
      </c>
      <c r="AZ194" t="s">
        <v>74</v>
      </c>
      <c r="BA194" t="s">
        <v>74</v>
      </c>
      <c r="BB194">
        <v>47</v>
      </c>
      <c r="BC194">
        <v>60</v>
      </c>
      <c r="BD194" t="s">
        <v>74</v>
      </c>
      <c r="BE194" t="s">
        <v>3016</v>
      </c>
      <c r="BF194" t="str">
        <f>HYPERLINK("http://dx.doi.org/10.1016/j.coldregions.2004.05.008","http://dx.doi.org/10.1016/j.coldregions.2004.05.008")</f>
        <v>http://dx.doi.org/10.1016/j.coldregions.2004.05.008</v>
      </c>
      <c r="BG194" t="s">
        <v>74</v>
      </c>
      <c r="BH194" t="s">
        <v>74</v>
      </c>
      <c r="BI194">
        <v>14</v>
      </c>
      <c r="BJ194" t="s">
        <v>1256</v>
      </c>
      <c r="BK194" t="s">
        <v>139</v>
      </c>
      <c r="BL194" t="s">
        <v>1258</v>
      </c>
      <c r="BM194" t="s">
        <v>3017</v>
      </c>
      <c r="BN194" t="s">
        <v>74</v>
      </c>
      <c r="BO194" t="s">
        <v>74</v>
      </c>
      <c r="BP194" t="s">
        <v>74</v>
      </c>
      <c r="BQ194" t="s">
        <v>74</v>
      </c>
      <c r="BR194" t="s">
        <v>98</v>
      </c>
      <c r="BS194" t="s">
        <v>3018</v>
      </c>
      <c r="BT194" t="str">
        <f>HYPERLINK("https%3A%2F%2Fwww.webofscience.com%2Fwos%2Fwoscc%2Ffull-record%2FWOS:000225155000005","View Full Record in Web of Science")</f>
        <v>View Full Record in Web of Science</v>
      </c>
    </row>
    <row r="195" spans="1:72" x14ac:dyDescent="0.15">
      <c r="A195" t="s">
        <v>122</v>
      </c>
      <c r="B195" t="s">
        <v>3019</v>
      </c>
      <c r="C195" t="s">
        <v>74</v>
      </c>
      <c r="D195" t="s">
        <v>74</v>
      </c>
      <c r="E195" t="s">
        <v>74</v>
      </c>
      <c r="F195" t="s">
        <v>3019</v>
      </c>
      <c r="G195" t="s">
        <v>74</v>
      </c>
      <c r="H195" t="s">
        <v>74</v>
      </c>
      <c r="I195" t="s">
        <v>3020</v>
      </c>
      <c r="J195" t="s">
        <v>1240</v>
      </c>
      <c r="K195" t="s">
        <v>74</v>
      </c>
      <c r="L195" t="s">
        <v>74</v>
      </c>
      <c r="M195" t="s">
        <v>79</v>
      </c>
      <c r="N195" t="s">
        <v>126</v>
      </c>
      <c r="O195" t="s">
        <v>74</v>
      </c>
      <c r="P195" t="s">
        <v>74</v>
      </c>
      <c r="Q195" t="s">
        <v>74</v>
      </c>
      <c r="R195" t="s">
        <v>74</v>
      </c>
      <c r="S195" t="s">
        <v>74</v>
      </c>
      <c r="T195" t="s">
        <v>3021</v>
      </c>
      <c r="U195" t="s">
        <v>3022</v>
      </c>
      <c r="V195" t="s">
        <v>3023</v>
      </c>
      <c r="W195" t="s">
        <v>3024</v>
      </c>
      <c r="X195" t="s">
        <v>3025</v>
      </c>
      <c r="Y195" t="s">
        <v>3026</v>
      </c>
      <c r="Z195" t="s">
        <v>3027</v>
      </c>
      <c r="AA195" t="s">
        <v>3028</v>
      </c>
      <c r="AB195" t="s">
        <v>3029</v>
      </c>
      <c r="AC195" t="s">
        <v>74</v>
      </c>
      <c r="AD195" t="s">
        <v>74</v>
      </c>
      <c r="AE195" t="s">
        <v>74</v>
      </c>
      <c r="AF195" t="s">
        <v>74</v>
      </c>
      <c r="AG195">
        <v>44</v>
      </c>
      <c r="AH195">
        <v>56</v>
      </c>
      <c r="AI195">
        <v>71</v>
      </c>
      <c r="AJ195">
        <v>0</v>
      </c>
      <c r="AK195">
        <v>21</v>
      </c>
      <c r="AL195" t="s">
        <v>562</v>
      </c>
      <c r="AM195" t="s">
        <v>532</v>
      </c>
      <c r="AN195" t="s">
        <v>563</v>
      </c>
      <c r="AO195" t="s">
        <v>1251</v>
      </c>
      <c r="AP195" t="s">
        <v>74</v>
      </c>
      <c r="AQ195" t="s">
        <v>74</v>
      </c>
      <c r="AR195" t="s">
        <v>1253</v>
      </c>
      <c r="AS195" t="s">
        <v>1254</v>
      </c>
      <c r="AT195" t="s">
        <v>2584</v>
      </c>
      <c r="AU195">
        <v>2004</v>
      </c>
      <c r="AV195">
        <v>40</v>
      </c>
      <c r="AW195" t="s">
        <v>2537</v>
      </c>
      <c r="AX195" t="s">
        <v>74</v>
      </c>
      <c r="AY195" t="s">
        <v>74</v>
      </c>
      <c r="AZ195" t="s">
        <v>74</v>
      </c>
      <c r="BA195" t="s">
        <v>74</v>
      </c>
      <c r="BB195">
        <v>61</v>
      </c>
      <c r="BC195">
        <v>70</v>
      </c>
      <c r="BD195" t="s">
        <v>74</v>
      </c>
      <c r="BE195" t="s">
        <v>3030</v>
      </c>
      <c r="BF195" t="str">
        <f>HYPERLINK("http://dx.doi.org/10.1016/j.coldregions.2004.05.005","http://dx.doi.org/10.1016/j.coldregions.2004.05.005")</f>
        <v>http://dx.doi.org/10.1016/j.coldregions.2004.05.005</v>
      </c>
      <c r="BG195" t="s">
        <v>74</v>
      </c>
      <c r="BH195" t="s">
        <v>74</v>
      </c>
      <c r="BI195">
        <v>10</v>
      </c>
      <c r="BJ195" t="s">
        <v>1256</v>
      </c>
      <c r="BK195" t="s">
        <v>139</v>
      </c>
      <c r="BL195" t="s">
        <v>1258</v>
      </c>
      <c r="BM195" t="s">
        <v>3017</v>
      </c>
      <c r="BN195" t="s">
        <v>74</v>
      </c>
      <c r="BO195" t="s">
        <v>74</v>
      </c>
      <c r="BP195" t="s">
        <v>74</v>
      </c>
      <c r="BQ195" t="s">
        <v>74</v>
      </c>
      <c r="BR195" t="s">
        <v>98</v>
      </c>
      <c r="BS195" t="s">
        <v>3031</v>
      </c>
      <c r="BT195" t="str">
        <f>HYPERLINK("https%3A%2F%2Fwww.webofscience.com%2Fwos%2Fwoscc%2Ffull-record%2FWOS:000225155000006","View Full Record in Web of Science")</f>
        <v>View Full Record in Web of Science</v>
      </c>
    </row>
    <row r="196" spans="1:72" x14ac:dyDescent="0.15">
      <c r="A196" t="s">
        <v>122</v>
      </c>
      <c r="B196" t="s">
        <v>3032</v>
      </c>
      <c r="C196" t="s">
        <v>74</v>
      </c>
      <c r="D196" t="s">
        <v>74</v>
      </c>
      <c r="E196" t="s">
        <v>74</v>
      </c>
      <c r="F196" t="s">
        <v>3032</v>
      </c>
      <c r="G196" t="s">
        <v>74</v>
      </c>
      <c r="H196" t="s">
        <v>74</v>
      </c>
      <c r="I196" t="s">
        <v>3033</v>
      </c>
      <c r="J196" t="s">
        <v>1240</v>
      </c>
      <c r="K196" t="s">
        <v>74</v>
      </c>
      <c r="L196" t="s">
        <v>74</v>
      </c>
      <c r="M196" t="s">
        <v>79</v>
      </c>
      <c r="N196" t="s">
        <v>126</v>
      </c>
      <c r="O196" t="s">
        <v>74</v>
      </c>
      <c r="P196" t="s">
        <v>74</v>
      </c>
      <c r="Q196" t="s">
        <v>74</v>
      </c>
      <c r="R196" t="s">
        <v>74</v>
      </c>
      <c r="S196" t="s">
        <v>74</v>
      </c>
      <c r="T196" t="s">
        <v>3034</v>
      </c>
      <c r="U196" t="s">
        <v>3035</v>
      </c>
      <c r="V196" t="s">
        <v>3036</v>
      </c>
      <c r="W196" t="s">
        <v>3037</v>
      </c>
      <c r="X196" t="s">
        <v>3038</v>
      </c>
      <c r="Y196" t="s">
        <v>3039</v>
      </c>
      <c r="Z196" t="s">
        <v>3040</v>
      </c>
      <c r="AA196" t="s">
        <v>74</v>
      </c>
      <c r="AB196" t="s">
        <v>74</v>
      </c>
      <c r="AC196" t="s">
        <v>74</v>
      </c>
      <c r="AD196" t="s">
        <v>74</v>
      </c>
      <c r="AE196" t="s">
        <v>74</v>
      </c>
      <c r="AF196" t="s">
        <v>74</v>
      </c>
      <c r="AG196">
        <v>47</v>
      </c>
      <c r="AH196">
        <v>18</v>
      </c>
      <c r="AI196">
        <v>21</v>
      </c>
      <c r="AJ196">
        <v>0</v>
      </c>
      <c r="AK196">
        <v>14</v>
      </c>
      <c r="AL196" t="s">
        <v>562</v>
      </c>
      <c r="AM196" t="s">
        <v>532</v>
      </c>
      <c r="AN196" t="s">
        <v>563</v>
      </c>
      <c r="AO196" t="s">
        <v>1251</v>
      </c>
      <c r="AP196" t="s">
        <v>1252</v>
      </c>
      <c r="AQ196" t="s">
        <v>74</v>
      </c>
      <c r="AR196" t="s">
        <v>1253</v>
      </c>
      <c r="AS196" t="s">
        <v>1254</v>
      </c>
      <c r="AT196" t="s">
        <v>2584</v>
      </c>
      <c r="AU196">
        <v>2004</v>
      </c>
      <c r="AV196">
        <v>40</v>
      </c>
      <c r="AW196" t="s">
        <v>2537</v>
      </c>
      <c r="AX196" t="s">
        <v>74</v>
      </c>
      <c r="AY196" t="s">
        <v>74</v>
      </c>
      <c r="AZ196" t="s">
        <v>74</v>
      </c>
      <c r="BA196" t="s">
        <v>74</v>
      </c>
      <c r="BB196">
        <v>81</v>
      </c>
      <c r="BC196">
        <v>96</v>
      </c>
      <c r="BD196" t="s">
        <v>74</v>
      </c>
      <c r="BE196" t="s">
        <v>3041</v>
      </c>
      <c r="BF196" t="str">
        <f>HYPERLINK("http://dx.doi.org/10.1016/j.coldregions.2004.06.002","http://dx.doi.org/10.1016/j.coldregions.2004.06.002")</f>
        <v>http://dx.doi.org/10.1016/j.coldregions.2004.06.002</v>
      </c>
      <c r="BG196" t="s">
        <v>74</v>
      </c>
      <c r="BH196" t="s">
        <v>74</v>
      </c>
      <c r="BI196">
        <v>16</v>
      </c>
      <c r="BJ196" t="s">
        <v>1256</v>
      </c>
      <c r="BK196" t="s">
        <v>139</v>
      </c>
      <c r="BL196" t="s">
        <v>1258</v>
      </c>
      <c r="BM196" t="s">
        <v>3017</v>
      </c>
      <c r="BN196" t="s">
        <v>74</v>
      </c>
      <c r="BO196" t="s">
        <v>74</v>
      </c>
      <c r="BP196" t="s">
        <v>74</v>
      </c>
      <c r="BQ196" t="s">
        <v>74</v>
      </c>
      <c r="BR196" t="s">
        <v>98</v>
      </c>
      <c r="BS196" t="s">
        <v>3042</v>
      </c>
      <c r="BT196" t="str">
        <f>HYPERLINK("https%3A%2F%2Fwww.webofscience.com%2Fwos%2Fwoscc%2Ffull-record%2FWOS:000225155000008","View Full Record in Web of Science")</f>
        <v>View Full Record in Web of Science</v>
      </c>
    </row>
    <row r="197" spans="1:72" x14ac:dyDescent="0.15">
      <c r="A197" t="s">
        <v>122</v>
      </c>
      <c r="B197" t="s">
        <v>3043</v>
      </c>
      <c r="C197" t="s">
        <v>74</v>
      </c>
      <c r="D197" t="s">
        <v>74</v>
      </c>
      <c r="E197" t="s">
        <v>74</v>
      </c>
      <c r="F197" t="s">
        <v>3043</v>
      </c>
      <c r="G197" t="s">
        <v>74</v>
      </c>
      <c r="H197" t="s">
        <v>74</v>
      </c>
      <c r="I197" t="s">
        <v>3044</v>
      </c>
      <c r="J197" t="s">
        <v>3045</v>
      </c>
      <c r="K197" t="s">
        <v>74</v>
      </c>
      <c r="L197" t="s">
        <v>74</v>
      </c>
      <c r="M197" t="s">
        <v>79</v>
      </c>
      <c r="N197" t="s">
        <v>581</v>
      </c>
      <c r="O197" t="s">
        <v>74</v>
      </c>
      <c r="P197" t="s">
        <v>74</v>
      </c>
      <c r="Q197" t="s">
        <v>74</v>
      </c>
      <c r="R197" t="s">
        <v>74</v>
      </c>
      <c r="S197" t="s">
        <v>74</v>
      </c>
      <c r="T197" t="s">
        <v>3046</v>
      </c>
      <c r="U197" t="s">
        <v>3047</v>
      </c>
      <c r="V197" t="s">
        <v>3048</v>
      </c>
      <c r="W197" t="s">
        <v>3049</v>
      </c>
      <c r="X197" t="s">
        <v>1018</v>
      </c>
      <c r="Y197" t="s">
        <v>3050</v>
      </c>
      <c r="Z197" t="s">
        <v>3051</v>
      </c>
      <c r="AA197" t="s">
        <v>3052</v>
      </c>
      <c r="AB197" t="s">
        <v>3053</v>
      </c>
      <c r="AC197" t="s">
        <v>74</v>
      </c>
      <c r="AD197" t="s">
        <v>74</v>
      </c>
      <c r="AE197" t="s">
        <v>74</v>
      </c>
      <c r="AF197" t="s">
        <v>74</v>
      </c>
      <c r="AG197">
        <v>64</v>
      </c>
      <c r="AH197">
        <v>256</v>
      </c>
      <c r="AI197">
        <v>304</v>
      </c>
      <c r="AJ197">
        <v>5</v>
      </c>
      <c r="AK197">
        <v>140</v>
      </c>
      <c r="AL197" t="s">
        <v>612</v>
      </c>
      <c r="AM197" t="s">
        <v>613</v>
      </c>
      <c r="AN197" t="s">
        <v>614</v>
      </c>
      <c r="AO197" t="s">
        <v>3054</v>
      </c>
      <c r="AP197" t="s">
        <v>3055</v>
      </c>
      <c r="AQ197" t="s">
        <v>74</v>
      </c>
      <c r="AR197" t="s">
        <v>3056</v>
      </c>
      <c r="AS197" t="s">
        <v>3057</v>
      </c>
      <c r="AT197" t="s">
        <v>2584</v>
      </c>
      <c r="AU197">
        <v>2004</v>
      </c>
      <c r="AV197">
        <v>139</v>
      </c>
      <c r="AW197">
        <v>3</v>
      </c>
      <c r="AX197" t="s">
        <v>74</v>
      </c>
      <c r="AY197" t="s">
        <v>74</v>
      </c>
      <c r="AZ197" t="s">
        <v>74</v>
      </c>
      <c r="BA197" t="s">
        <v>74</v>
      </c>
      <c r="BB197">
        <v>321</v>
      </c>
      <c r="BC197">
        <v>333</v>
      </c>
      <c r="BD197" t="s">
        <v>74</v>
      </c>
      <c r="BE197" t="s">
        <v>3058</v>
      </c>
      <c r="BF197" t="str">
        <f>HYPERLINK("http://dx.doi.org/10.1016/j.cbpc.2004.05.003","http://dx.doi.org/10.1016/j.cbpc.2004.05.003")</f>
        <v>http://dx.doi.org/10.1016/j.cbpc.2004.05.003</v>
      </c>
      <c r="BG197" t="s">
        <v>74</v>
      </c>
      <c r="BH197" t="s">
        <v>74</v>
      </c>
      <c r="BI197">
        <v>13</v>
      </c>
      <c r="BJ197" t="s">
        <v>3059</v>
      </c>
      <c r="BK197" t="s">
        <v>139</v>
      </c>
      <c r="BL197" t="s">
        <v>3059</v>
      </c>
      <c r="BM197" t="s">
        <v>3060</v>
      </c>
      <c r="BN197">
        <v>15544958</v>
      </c>
      <c r="BO197" t="s">
        <v>74</v>
      </c>
      <c r="BP197" t="s">
        <v>74</v>
      </c>
      <c r="BQ197" t="s">
        <v>74</v>
      </c>
      <c r="BR197" t="s">
        <v>98</v>
      </c>
      <c r="BS197" t="s">
        <v>3061</v>
      </c>
      <c r="BT197" t="str">
        <f>HYPERLINK("https%3A%2F%2Fwww.webofscience.com%2Fwos%2Fwoscc%2Ffull-record%2FWOS:000225554900005","View Full Record in Web of Science")</f>
        <v>View Full Record in Web of Science</v>
      </c>
    </row>
    <row r="198" spans="1:72" x14ac:dyDescent="0.15">
      <c r="A198" t="s">
        <v>122</v>
      </c>
      <c r="B198" t="s">
        <v>3062</v>
      </c>
      <c r="C198" t="s">
        <v>74</v>
      </c>
      <c r="D198" t="s">
        <v>74</v>
      </c>
      <c r="E198" t="s">
        <v>74</v>
      </c>
      <c r="F198" t="s">
        <v>3062</v>
      </c>
      <c r="G198" t="s">
        <v>74</v>
      </c>
      <c r="H198" t="s">
        <v>74</v>
      </c>
      <c r="I198" t="s">
        <v>3063</v>
      </c>
      <c r="J198" t="s">
        <v>3045</v>
      </c>
      <c r="K198" t="s">
        <v>74</v>
      </c>
      <c r="L198" t="s">
        <v>74</v>
      </c>
      <c r="M198" t="s">
        <v>79</v>
      </c>
      <c r="N198" t="s">
        <v>581</v>
      </c>
      <c r="O198" t="s">
        <v>74</v>
      </c>
      <c r="P198" t="s">
        <v>74</v>
      </c>
      <c r="Q198" t="s">
        <v>74</v>
      </c>
      <c r="R198" t="s">
        <v>74</v>
      </c>
      <c r="S198" t="s">
        <v>74</v>
      </c>
      <c r="T198" t="s">
        <v>3064</v>
      </c>
      <c r="U198" t="s">
        <v>3065</v>
      </c>
      <c r="V198" t="s">
        <v>3066</v>
      </c>
      <c r="W198" t="s">
        <v>3067</v>
      </c>
      <c r="X198" t="s">
        <v>2917</v>
      </c>
      <c r="Y198" t="s">
        <v>3068</v>
      </c>
      <c r="Z198" t="s">
        <v>3069</v>
      </c>
      <c r="AA198" t="s">
        <v>3070</v>
      </c>
      <c r="AB198" t="s">
        <v>3071</v>
      </c>
      <c r="AC198" t="s">
        <v>74</v>
      </c>
      <c r="AD198" t="s">
        <v>74</v>
      </c>
      <c r="AE198" t="s">
        <v>74</v>
      </c>
      <c r="AF198" t="s">
        <v>74</v>
      </c>
      <c r="AG198">
        <v>48</v>
      </c>
      <c r="AH198">
        <v>22</v>
      </c>
      <c r="AI198">
        <v>24</v>
      </c>
      <c r="AJ198">
        <v>0</v>
      </c>
      <c r="AK198">
        <v>20</v>
      </c>
      <c r="AL198" t="s">
        <v>612</v>
      </c>
      <c r="AM198" t="s">
        <v>613</v>
      </c>
      <c r="AN198" t="s">
        <v>3072</v>
      </c>
      <c r="AO198" t="s">
        <v>3054</v>
      </c>
      <c r="AP198" t="s">
        <v>3055</v>
      </c>
      <c r="AQ198" t="s">
        <v>74</v>
      </c>
      <c r="AR198" t="s">
        <v>3056</v>
      </c>
      <c r="AS198" t="s">
        <v>3057</v>
      </c>
      <c r="AT198" t="s">
        <v>2584</v>
      </c>
      <c r="AU198">
        <v>2004</v>
      </c>
      <c r="AV198">
        <v>139</v>
      </c>
      <c r="AW198">
        <v>3</v>
      </c>
      <c r="AX198" t="s">
        <v>74</v>
      </c>
      <c r="AY198" t="s">
        <v>74</v>
      </c>
      <c r="AZ198" t="s">
        <v>74</v>
      </c>
      <c r="BA198" t="s">
        <v>74</v>
      </c>
      <c r="BB198">
        <v>359</v>
      </c>
      <c r="BC198">
        <v>369</v>
      </c>
      <c r="BD198" t="s">
        <v>74</v>
      </c>
      <c r="BE198" t="s">
        <v>3073</v>
      </c>
      <c r="BF198" t="str">
        <f>HYPERLINK("http://dx.doi.org/10.1016/j.cbpc.2004.02.018","http://dx.doi.org/10.1016/j.cbpc.2004.02.018")</f>
        <v>http://dx.doi.org/10.1016/j.cbpc.2004.02.018</v>
      </c>
      <c r="BG198" t="s">
        <v>74</v>
      </c>
      <c r="BH198" t="s">
        <v>74</v>
      </c>
      <c r="BI198">
        <v>11</v>
      </c>
      <c r="BJ198" t="s">
        <v>3059</v>
      </c>
      <c r="BK198" t="s">
        <v>139</v>
      </c>
      <c r="BL198" t="s">
        <v>3059</v>
      </c>
      <c r="BM198" t="s">
        <v>3060</v>
      </c>
      <c r="BN198">
        <v>15544961</v>
      </c>
      <c r="BO198" t="s">
        <v>74</v>
      </c>
      <c r="BP198" t="s">
        <v>74</v>
      </c>
      <c r="BQ198" t="s">
        <v>74</v>
      </c>
      <c r="BR198" t="s">
        <v>98</v>
      </c>
      <c r="BS198" t="s">
        <v>3074</v>
      </c>
      <c r="BT198" t="str">
        <f>HYPERLINK("https%3A%2F%2Fwww.webofscience.com%2Fwos%2Fwoscc%2Ffull-record%2FWOS:000225554900008","View Full Record in Web of Science")</f>
        <v>View Full Record in Web of Science</v>
      </c>
    </row>
    <row r="199" spans="1:72" x14ac:dyDescent="0.15">
      <c r="A199" t="s">
        <v>122</v>
      </c>
      <c r="B199" t="s">
        <v>3075</v>
      </c>
      <c r="C199" t="s">
        <v>74</v>
      </c>
      <c r="D199" t="s">
        <v>74</v>
      </c>
      <c r="E199" t="s">
        <v>74</v>
      </c>
      <c r="F199" t="s">
        <v>3075</v>
      </c>
      <c r="G199" t="s">
        <v>74</v>
      </c>
      <c r="H199" t="s">
        <v>74</v>
      </c>
      <c r="I199" t="s">
        <v>3076</v>
      </c>
      <c r="J199" t="s">
        <v>3045</v>
      </c>
      <c r="K199" t="s">
        <v>74</v>
      </c>
      <c r="L199" t="s">
        <v>74</v>
      </c>
      <c r="M199" t="s">
        <v>79</v>
      </c>
      <c r="N199" t="s">
        <v>581</v>
      </c>
      <c r="O199" t="s">
        <v>74</v>
      </c>
      <c r="P199" t="s">
        <v>74</v>
      </c>
      <c r="Q199" t="s">
        <v>74</v>
      </c>
      <c r="R199" t="s">
        <v>74</v>
      </c>
      <c r="S199" t="s">
        <v>74</v>
      </c>
      <c r="T199" t="s">
        <v>3077</v>
      </c>
      <c r="U199" t="s">
        <v>3078</v>
      </c>
      <c r="V199" t="s">
        <v>3079</v>
      </c>
      <c r="W199" t="s">
        <v>3080</v>
      </c>
      <c r="X199" t="s">
        <v>3081</v>
      </c>
      <c r="Y199" t="s">
        <v>2640</v>
      </c>
      <c r="Z199" t="s">
        <v>3082</v>
      </c>
      <c r="AA199" t="s">
        <v>74</v>
      </c>
      <c r="AB199" t="s">
        <v>74</v>
      </c>
      <c r="AC199" t="s">
        <v>74</v>
      </c>
      <c r="AD199" t="s">
        <v>74</v>
      </c>
      <c r="AE199" t="s">
        <v>74</v>
      </c>
      <c r="AF199" t="s">
        <v>74</v>
      </c>
      <c r="AG199">
        <v>84</v>
      </c>
      <c r="AH199">
        <v>85</v>
      </c>
      <c r="AI199">
        <v>109</v>
      </c>
      <c r="AJ199">
        <v>1</v>
      </c>
      <c r="AK199">
        <v>65</v>
      </c>
      <c r="AL199" t="s">
        <v>612</v>
      </c>
      <c r="AM199" t="s">
        <v>613</v>
      </c>
      <c r="AN199" t="s">
        <v>3072</v>
      </c>
      <c r="AO199" t="s">
        <v>3054</v>
      </c>
      <c r="AP199" t="s">
        <v>3055</v>
      </c>
      <c r="AQ199" t="s">
        <v>74</v>
      </c>
      <c r="AR199" t="s">
        <v>3056</v>
      </c>
      <c r="AS199" t="s">
        <v>3057</v>
      </c>
      <c r="AT199" t="s">
        <v>2584</v>
      </c>
      <c r="AU199">
        <v>2004</v>
      </c>
      <c r="AV199">
        <v>139</v>
      </c>
      <c r="AW199">
        <v>3</v>
      </c>
      <c r="AX199" t="s">
        <v>74</v>
      </c>
      <c r="AY199" t="s">
        <v>74</v>
      </c>
      <c r="AZ199" t="s">
        <v>74</v>
      </c>
      <c r="BA199" t="s">
        <v>74</v>
      </c>
      <c r="BB199">
        <v>371</v>
      </c>
      <c r="BC199">
        <v>382</v>
      </c>
      <c r="BD199" t="s">
        <v>74</v>
      </c>
      <c r="BE199" t="s">
        <v>3083</v>
      </c>
      <c r="BF199" t="str">
        <f>HYPERLINK("http://dx.doi.org/10.1016/j.cbpc.2004.04.001","http://dx.doi.org/10.1016/j.cbpc.2004.04.001")</f>
        <v>http://dx.doi.org/10.1016/j.cbpc.2004.04.001</v>
      </c>
      <c r="BG199" t="s">
        <v>74</v>
      </c>
      <c r="BH199" t="s">
        <v>74</v>
      </c>
      <c r="BI199">
        <v>12</v>
      </c>
      <c r="BJ199" t="s">
        <v>3059</v>
      </c>
      <c r="BK199" t="s">
        <v>139</v>
      </c>
      <c r="BL199" t="s">
        <v>3059</v>
      </c>
      <c r="BM199" t="s">
        <v>3060</v>
      </c>
      <c r="BN199">
        <v>15544962</v>
      </c>
      <c r="BO199" t="s">
        <v>74</v>
      </c>
      <c r="BP199" t="s">
        <v>74</v>
      </c>
      <c r="BQ199" t="s">
        <v>74</v>
      </c>
      <c r="BR199" t="s">
        <v>98</v>
      </c>
      <c r="BS199" t="s">
        <v>3084</v>
      </c>
      <c r="BT199" t="str">
        <f>HYPERLINK("https%3A%2F%2Fwww.webofscience.com%2Fwos%2Fwoscc%2Ffull-record%2FWOS:000225554900009","View Full Record in Web of Science")</f>
        <v>View Full Record in Web of Science</v>
      </c>
    </row>
    <row r="200" spans="1:72" x14ac:dyDescent="0.15">
      <c r="A200" t="s">
        <v>122</v>
      </c>
      <c r="B200" t="s">
        <v>3085</v>
      </c>
      <c r="C200" t="s">
        <v>74</v>
      </c>
      <c r="D200" t="s">
        <v>74</v>
      </c>
      <c r="E200" t="s">
        <v>74</v>
      </c>
      <c r="F200" t="s">
        <v>3085</v>
      </c>
      <c r="G200" t="s">
        <v>74</v>
      </c>
      <c r="H200" t="s">
        <v>74</v>
      </c>
      <c r="I200" t="s">
        <v>3086</v>
      </c>
      <c r="J200" t="s">
        <v>1263</v>
      </c>
      <c r="K200" t="s">
        <v>74</v>
      </c>
      <c r="L200" t="s">
        <v>74</v>
      </c>
      <c r="M200" t="s">
        <v>79</v>
      </c>
      <c r="N200" t="s">
        <v>126</v>
      </c>
      <c r="O200" t="s">
        <v>74</v>
      </c>
      <c r="P200" t="s">
        <v>74</v>
      </c>
      <c r="Q200" t="s">
        <v>74</v>
      </c>
      <c r="R200" t="s">
        <v>74</v>
      </c>
      <c r="S200" t="s">
        <v>74</v>
      </c>
      <c r="T200" t="s">
        <v>74</v>
      </c>
      <c r="U200" t="s">
        <v>3087</v>
      </c>
      <c r="V200" t="s">
        <v>3088</v>
      </c>
      <c r="W200" t="s">
        <v>3089</v>
      </c>
      <c r="X200" t="s">
        <v>3090</v>
      </c>
      <c r="Y200" t="s">
        <v>3091</v>
      </c>
      <c r="Z200" t="s">
        <v>3092</v>
      </c>
      <c r="AA200" t="s">
        <v>3093</v>
      </c>
      <c r="AB200" t="s">
        <v>3094</v>
      </c>
      <c r="AC200" t="s">
        <v>74</v>
      </c>
      <c r="AD200" t="s">
        <v>74</v>
      </c>
      <c r="AE200" t="s">
        <v>74</v>
      </c>
      <c r="AF200" t="s">
        <v>74</v>
      </c>
      <c r="AG200">
        <v>36</v>
      </c>
      <c r="AH200">
        <v>38</v>
      </c>
      <c r="AI200">
        <v>40</v>
      </c>
      <c r="AJ200">
        <v>0</v>
      </c>
      <c r="AK200">
        <v>7</v>
      </c>
      <c r="AL200" t="s">
        <v>1273</v>
      </c>
      <c r="AM200" t="s">
        <v>197</v>
      </c>
      <c r="AN200" t="s">
        <v>1274</v>
      </c>
      <c r="AO200" t="s">
        <v>1275</v>
      </c>
      <c r="AP200" t="s">
        <v>1276</v>
      </c>
      <c r="AQ200" t="s">
        <v>74</v>
      </c>
      <c r="AR200" t="s">
        <v>1277</v>
      </c>
      <c r="AS200" t="s">
        <v>1278</v>
      </c>
      <c r="AT200" t="s">
        <v>2584</v>
      </c>
      <c r="AU200">
        <v>2004</v>
      </c>
      <c r="AV200">
        <v>51</v>
      </c>
      <c r="AW200">
        <v>11</v>
      </c>
      <c r="AX200" t="s">
        <v>74</v>
      </c>
      <c r="AY200" t="s">
        <v>74</v>
      </c>
      <c r="AZ200" t="s">
        <v>74</v>
      </c>
      <c r="BA200" t="s">
        <v>74</v>
      </c>
      <c r="BB200">
        <v>1397</v>
      </c>
      <c r="BC200">
        <v>1415</v>
      </c>
      <c r="BD200" t="s">
        <v>74</v>
      </c>
      <c r="BE200" t="s">
        <v>3095</v>
      </c>
      <c r="BF200" t="str">
        <f>HYPERLINK("http://dx.doi.org/10.1016/j.dsr.2004.07.007","http://dx.doi.org/10.1016/j.dsr.2004.07.007")</f>
        <v>http://dx.doi.org/10.1016/j.dsr.2004.07.007</v>
      </c>
      <c r="BG200" t="s">
        <v>74</v>
      </c>
      <c r="BH200" t="s">
        <v>74</v>
      </c>
      <c r="BI200">
        <v>19</v>
      </c>
      <c r="BJ200" t="s">
        <v>660</v>
      </c>
      <c r="BK200" t="s">
        <v>139</v>
      </c>
      <c r="BL200" t="s">
        <v>660</v>
      </c>
      <c r="BM200" t="s">
        <v>3096</v>
      </c>
      <c r="BN200" t="s">
        <v>74</v>
      </c>
      <c r="BO200" t="s">
        <v>74</v>
      </c>
      <c r="BP200" t="s">
        <v>74</v>
      </c>
      <c r="BQ200" t="s">
        <v>74</v>
      </c>
      <c r="BR200" t="s">
        <v>98</v>
      </c>
      <c r="BS200" t="s">
        <v>3097</v>
      </c>
      <c r="BT200" t="str">
        <f>HYPERLINK("https%3A%2F%2Fwww.webofscience.com%2Fwos%2Fwoscc%2Ffull-record%2FWOS:000225123100001","View Full Record in Web of Science")</f>
        <v>View Full Record in Web of Science</v>
      </c>
    </row>
    <row r="201" spans="1:72" x14ac:dyDescent="0.15">
      <c r="A201" t="s">
        <v>122</v>
      </c>
      <c r="B201" t="s">
        <v>3098</v>
      </c>
      <c r="C201" t="s">
        <v>74</v>
      </c>
      <c r="D201" t="s">
        <v>74</v>
      </c>
      <c r="E201" t="s">
        <v>74</v>
      </c>
      <c r="F201" t="s">
        <v>3098</v>
      </c>
      <c r="G201" t="s">
        <v>74</v>
      </c>
      <c r="H201" t="s">
        <v>74</v>
      </c>
      <c r="I201" t="s">
        <v>3099</v>
      </c>
      <c r="J201" t="s">
        <v>1263</v>
      </c>
      <c r="K201" t="s">
        <v>74</v>
      </c>
      <c r="L201" t="s">
        <v>74</v>
      </c>
      <c r="M201" t="s">
        <v>79</v>
      </c>
      <c r="N201" t="s">
        <v>126</v>
      </c>
      <c r="O201" t="s">
        <v>74</v>
      </c>
      <c r="P201" t="s">
        <v>74</v>
      </c>
      <c r="Q201" t="s">
        <v>74</v>
      </c>
      <c r="R201" t="s">
        <v>74</v>
      </c>
      <c r="S201" t="s">
        <v>74</v>
      </c>
      <c r="T201" t="s">
        <v>3100</v>
      </c>
      <c r="U201" t="s">
        <v>3101</v>
      </c>
      <c r="V201" t="s">
        <v>3102</v>
      </c>
      <c r="W201" t="s">
        <v>3103</v>
      </c>
      <c r="X201" t="s">
        <v>1288</v>
      </c>
      <c r="Y201" t="s">
        <v>3104</v>
      </c>
      <c r="Z201" t="s">
        <v>3105</v>
      </c>
      <c r="AA201" t="s">
        <v>1291</v>
      </c>
      <c r="AB201" t="s">
        <v>1292</v>
      </c>
      <c r="AC201" t="s">
        <v>74</v>
      </c>
      <c r="AD201" t="s">
        <v>74</v>
      </c>
      <c r="AE201" t="s">
        <v>74</v>
      </c>
      <c r="AF201" t="s">
        <v>74</v>
      </c>
      <c r="AG201">
        <v>33</v>
      </c>
      <c r="AH201">
        <v>46</v>
      </c>
      <c r="AI201">
        <v>51</v>
      </c>
      <c r="AJ201">
        <v>0</v>
      </c>
      <c r="AK201">
        <v>9</v>
      </c>
      <c r="AL201" t="s">
        <v>1273</v>
      </c>
      <c r="AM201" t="s">
        <v>197</v>
      </c>
      <c r="AN201" t="s">
        <v>1274</v>
      </c>
      <c r="AO201" t="s">
        <v>1275</v>
      </c>
      <c r="AP201" t="s">
        <v>74</v>
      </c>
      <c r="AQ201" t="s">
        <v>74</v>
      </c>
      <c r="AR201" t="s">
        <v>1277</v>
      </c>
      <c r="AS201" t="s">
        <v>1278</v>
      </c>
      <c r="AT201" t="s">
        <v>2584</v>
      </c>
      <c r="AU201">
        <v>2004</v>
      </c>
      <c r="AV201">
        <v>51</v>
      </c>
      <c r="AW201">
        <v>11</v>
      </c>
      <c r="AX201" t="s">
        <v>74</v>
      </c>
      <c r="AY201" t="s">
        <v>74</v>
      </c>
      <c r="AZ201" t="s">
        <v>74</v>
      </c>
      <c r="BA201" t="s">
        <v>74</v>
      </c>
      <c r="BB201">
        <v>1417</v>
      </c>
      <c r="BC201">
        <v>1440</v>
      </c>
      <c r="BD201" t="s">
        <v>74</v>
      </c>
      <c r="BE201" t="s">
        <v>3106</v>
      </c>
      <c r="BF201" t="str">
        <f>HYPERLINK("http://dx.doi.org/10.1016/j.dsr.2004.07.005","http://dx.doi.org/10.1016/j.dsr.2004.07.005")</f>
        <v>http://dx.doi.org/10.1016/j.dsr.2004.07.005</v>
      </c>
      <c r="BG201" t="s">
        <v>74</v>
      </c>
      <c r="BH201" t="s">
        <v>74</v>
      </c>
      <c r="BI201">
        <v>24</v>
      </c>
      <c r="BJ201" t="s">
        <v>660</v>
      </c>
      <c r="BK201" t="s">
        <v>139</v>
      </c>
      <c r="BL201" t="s">
        <v>660</v>
      </c>
      <c r="BM201" t="s">
        <v>3096</v>
      </c>
      <c r="BN201" t="s">
        <v>74</v>
      </c>
      <c r="BO201" t="s">
        <v>74</v>
      </c>
      <c r="BP201" t="s">
        <v>74</v>
      </c>
      <c r="BQ201" t="s">
        <v>74</v>
      </c>
      <c r="BR201" t="s">
        <v>98</v>
      </c>
      <c r="BS201" t="s">
        <v>3107</v>
      </c>
      <c r="BT201" t="str">
        <f>HYPERLINK("https%3A%2F%2Fwww.webofscience.com%2Fwos%2Fwoscc%2Ffull-record%2FWOS:000225123100002","View Full Record in Web of Science")</f>
        <v>View Full Record in Web of Science</v>
      </c>
    </row>
    <row r="202" spans="1:72" x14ac:dyDescent="0.15">
      <c r="A202" t="s">
        <v>122</v>
      </c>
      <c r="B202" t="s">
        <v>3108</v>
      </c>
      <c r="C202" t="s">
        <v>74</v>
      </c>
      <c r="D202" t="s">
        <v>74</v>
      </c>
      <c r="E202" t="s">
        <v>74</v>
      </c>
      <c r="F202" t="s">
        <v>3108</v>
      </c>
      <c r="G202" t="s">
        <v>74</v>
      </c>
      <c r="H202" t="s">
        <v>74</v>
      </c>
      <c r="I202" t="s">
        <v>3109</v>
      </c>
      <c r="J202" t="s">
        <v>1263</v>
      </c>
      <c r="K202" t="s">
        <v>74</v>
      </c>
      <c r="L202" t="s">
        <v>74</v>
      </c>
      <c r="M202" t="s">
        <v>79</v>
      </c>
      <c r="N202" t="s">
        <v>126</v>
      </c>
      <c r="O202" t="s">
        <v>74</v>
      </c>
      <c r="P202" t="s">
        <v>74</v>
      </c>
      <c r="Q202" t="s">
        <v>74</v>
      </c>
      <c r="R202" t="s">
        <v>74</v>
      </c>
      <c r="S202" t="s">
        <v>74</v>
      </c>
      <c r="T202" t="s">
        <v>3110</v>
      </c>
      <c r="U202" t="s">
        <v>3111</v>
      </c>
      <c r="V202" t="s">
        <v>3112</v>
      </c>
      <c r="W202" t="s">
        <v>3113</v>
      </c>
      <c r="X202" t="s">
        <v>3114</v>
      </c>
      <c r="Y202" t="s">
        <v>3115</v>
      </c>
      <c r="Z202" t="s">
        <v>3116</v>
      </c>
      <c r="AA202" t="s">
        <v>3117</v>
      </c>
      <c r="AB202" t="s">
        <v>74</v>
      </c>
      <c r="AC202" t="s">
        <v>74</v>
      </c>
      <c r="AD202" t="s">
        <v>74</v>
      </c>
      <c r="AE202" t="s">
        <v>74</v>
      </c>
      <c r="AF202" t="s">
        <v>74</v>
      </c>
      <c r="AG202">
        <v>37</v>
      </c>
      <c r="AH202">
        <v>63</v>
      </c>
      <c r="AI202">
        <v>73</v>
      </c>
      <c r="AJ202">
        <v>0</v>
      </c>
      <c r="AK202">
        <v>22</v>
      </c>
      <c r="AL202" t="s">
        <v>1273</v>
      </c>
      <c r="AM202" t="s">
        <v>197</v>
      </c>
      <c r="AN202" t="s">
        <v>1274</v>
      </c>
      <c r="AO202" t="s">
        <v>1275</v>
      </c>
      <c r="AP202" t="s">
        <v>1276</v>
      </c>
      <c r="AQ202" t="s">
        <v>74</v>
      </c>
      <c r="AR202" t="s">
        <v>1277</v>
      </c>
      <c r="AS202" t="s">
        <v>1278</v>
      </c>
      <c r="AT202" t="s">
        <v>2584</v>
      </c>
      <c r="AU202">
        <v>2004</v>
      </c>
      <c r="AV202">
        <v>51</v>
      </c>
      <c r="AW202">
        <v>11</v>
      </c>
      <c r="AX202" t="s">
        <v>74</v>
      </c>
      <c r="AY202" t="s">
        <v>74</v>
      </c>
      <c r="AZ202" t="s">
        <v>74</v>
      </c>
      <c r="BA202" t="s">
        <v>74</v>
      </c>
      <c r="BB202">
        <v>1529</v>
      </c>
      <c r="BC202">
        <v>1540</v>
      </c>
      <c r="BD202" t="s">
        <v>74</v>
      </c>
      <c r="BE202" t="s">
        <v>3118</v>
      </c>
      <c r="BF202" t="str">
        <f>HYPERLINK("http://dx.doi.org/10.1016/j.dsr.2004.06.012","http://dx.doi.org/10.1016/j.dsr.2004.06.012")</f>
        <v>http://dx.doi.org/10.1016/j.dsr.2004.06.012</v>
      </c>
      <c r="BG202" t="s">
        <v>74</v>
      </c>
      <c r="BH202" t="s">
        <v>74</v>
      </c>
      <c r="BI202">
        <v>12</v>
      </c>
      <c r="BJ202" t="s">
        <v>660</v>
      </c>
      <c r="BK202" t="s">
        <v>139</v>
      </c>
      <c r="BL202" t="s">
        <v>660</v>
      </c>
      <c r="BM202" t="s">
        <v>3096</v>
      </c>
      <c r="BN202" t="s">
        <v>74</v>
      </c>
      <c r="BO202" t="s">
        <v>74</v>
      </c>
      <c r="BP202" t="s">
        <v>74</v>
      </c>
      <c r="BQ202" t="s">
        <v>74</v>
      </c>
      <c r="BR202" t="s">
        <v>98</v>
      </c>
      <c r="BS202" t="s">
        <v>3119</v>
      </c>
      <c r="BT202" t="str">
        <f>HYPERLINK("https%3A%2F%2Fwww.webofscience.com%2Fwos%2Fwoscc%2Ffull-record%2FWOS:000225123100008","View Full Record in Web of Science")</f>
        <v>View Full Record in Web of Science</v>
      </c>
    </row>
    <row r="203" spans="1:72" x14ac:dyDescent="0.15">
      <c r="A203" t="s">
        <v>122</v>
      </c>
      <c r="B203" t="s">
        <v>3120</v>
      </c>
      <c r="C203" t="s">
        <v>74</v>
      </c>
      <c r="D203" t="s">
        <v>74</v>
      </c>
      <c r="E203" t="s">
        <v>74</v>
      </c>
      <c r="F203" t="s">
        <v>3120</v>
      </c>
      <c r="G203" t="s">
        <v>74</v>
      </c>
      <c r="H203" t="s">
        <v>74</v>
      </c>
      <c r="I203" t="s">
        <v>3121</v>
      </c>
      <c r="J203" t="s">
        <v>1263</v>
      </c>
      <c r="K203" t="s">
        <v>74</v>
      </c>
      <c r="L203" t="s">
        <v>74</v>
      </c>
      <c r="M203" t="s">
        <v>79</v>
      </c>
      <c r="N203" t="s">
        <v>126</v>
      </c>
      <c r="O203" t="s">
        <v>74</v>
      </c>
      <c r="P203" t="s">
        <v>74</v>
      </c>
      <c r="Q203" t="s">
        <v>74</v>
      </c>
      <c r="R203" t="s">
        <v>74</v>
      </c>
      <c r="S203" t="s">
        <v>74</v>
      </c>
      <c r="T203" t="s">
        <v>74</v>
      </c>
      <c r="U203" t="s">
        <v>3122</v>
      </c>
      <c r="V203" t="s">
        <v>3123</v>
      </c>
      <c r="W203" t="s">
        <v>3124</v>
      </c>
      <c r="X203" t="s">
        <v>3125</v>
      </c>
      <c r="Y203" t="s">
        <v>3126</v>
      </c>
      <c r="Z203" t="s">
        <v>3127</v>
      </c>
      <c r="AA203" t="s">
        <v>74</v>
      </c>
      <c r="AB203" t="s">
        <v>74</v>
      </c>
      <c r="AC203" t="s">
        <v>74</v>
      </c>
      <c r="AD203" t="s">
        <v>74</v>
      </c>
      <c r="AE203" t="s">
        <v>74</v>
      </c>
      <c r="AF203" t="s">
        <v>74</v>
      </c>
      <c r="AG203">
        <v>53</v>
      </c>
      <c r="AH203">
        <v>92</v>
      </c>
      <c r="AI203">
        <v>104</v>
      </c>
      <c r="AJ203">
        <v>0</v>
      </c>
      <c r="AK203">
        <v>30</v>
      </c>
      <c r="AL203" t="s">
        <v>1273</v>
      </c>
      <c r="AM203" t="s">
        <v>197</v>
      </c>
      <c r="AN203" t="s">
        <v>1274</v>
      </c>
      <c r="AO203" t="s">
        <v>1275</v>
      </c>
      <c r="AP203" t="s">
        <v>1276</v>
      </c>
      <c r="AQ203" t="s">
        <v>74</v>
      </c>
      <c r="AR203" t="s">
        <v>1277</v>
      </c>
      <c r="AS203" t="s">
        <v>1278</v>
      </c>
      <c r="AT203" t="s">
        <v>2584</v>
      </c>
      <c r="AU203">
        <v>2004</v>
      </c>
      <c r="AV203">
        <v>51</v>
      </c>
      <c r="AW203">
        <v>11</v>
      </c>
      <c r="AX203" t="s">
        <v>74</v>
      </c>
      <c r="AY203" t="s">
        <v>74</v>
      </c>
      <c r="AZ203" t="s">
        <v>74</v>
      </c>
      <c r="BA203" t="s">
        <v>74</v>
      </c>
      <c r="BB203">
        <v>1541</v>
      </c>
      <c r="BC203">
        <v>1561</v>
      </c>
      <c r="BD203" t="s">
        <v>74</v>
      </c>
      <c r="BE203" t="s">
        <v>3128</v>
      </c>
      <c r="BF203" t="str">
        <f>HYPERLINK("http://dx.doi.org/10.1016/j.dsr.2004.06.006","http://dx.doi.org/10.1016/j.dsr.2004.06.006")</f>
        <v>http://dx.doi.org/10.1016/j.dsr.2004.06.006</v>
      </c>
      <c r="BG203" t="s">
        <v>74</v>
      </c>
      <c r="BH203" t="s">
        <v>74</v>
      </c>
      <c r="BI203">
        <v>21</v>
      </c>
      <c r="BJ203" t="s">
        <v>660</v>
      </c>
      <c r="BK203" t="s">
        <v>139</v>
      </c>
      <c r="BL203" t="s">
        <v>660</v>
      </c>
      <c r="BM203" t="s">
        <v>3096</v>
      </c>
      <c r="BN203" t="s">
        <v>74</v>
      </c>
      <c r="BO203" t="s">
        <v>74</v>
      </c>
      <c r="BP203" t="s">
        <v>74</v>
      </c>
      <c r="BQ203" t="s">
        <v>74</v>
      </c>
      <c r="BR203" t="s">
        <v>98</v>
      </c>
      <c r="BS203" t="s">
        <v>3129</v>
      </c>
      <c r="BT203" t="str">
        <f>HYPERLINK("https%3A%2F%2Fwww.webofscience.com%2Fwos%2Fwoscc%2Ffull-record%2FWOS:000225123100009","View Full Record in Web of Science")</f>
        <v>View Full Record in Web of Science</v>
      </c>
    </row>
    <row r="204" spans="1:72" x14ac:dyDescent="0.15">
      <c r="A204" t="s">
        <v>122</v>
      </c>
      <c r="B204" t="s">
        <v>3130</v>
      </c>
      <c r="C204" t="s">
        <v>74</v>
      </c>
      <c r="D204" t="s">
        <v>74</v>
      </c>
      <c r="E204" t="s">
        <v>74</v>
      </c>
      <c r="F204" t="s">
        <v>3130</v>
      </c>
      <c r="G204" t="s">
        <v>74</v>
      </c>
      <c r="H204" t="s">
        <v>74</v>
      </c>
      <c r="I204" t="s">
        <v>3131</v>
      </c>
      <c r="J204" t="s">
        <v>1263</v>
      </c>
      <c r="K204" t="s">
        <v>74</v>
      </c>
      <c r="L204" t="s">
        <v>74</v>
      </c>
      <c r="M204" t="s">
        <v>79</v>
      </c>
      <c r="N204" t="s">
        <v>126</v>
      </c>
      <c r="O204" t="s">
        <v>74</v>
      </c>
      <c r="P204" t="s">
        <v>74</v>
      </c>
      <c r="Q204" t="s">
        <v>74</v>
      </c>
      <c r="R204" t="s">
        <v>74</v>
      </c>
      <c r="S204" t="s">
        <v>74</v>
      </c>
      <c r="T204" t="s">
        <v>3132</v>
      </c>
      <c r="U204" t="s">
        <v>3133</v>
      </c>
      <c r="V204" t="s">
        <v>3134</v>
      </c>
      <c r="W204" t="s">
        <v>3135</v>
      </c>
      <c r="X204" t="s">
        <v>3136</v>
      </c>
      <c r="Y204" t="s">
        <v>3137</v>
      </c>
      <c r="Z204" t="s">
        <v>3138</v>
      </c>
      <c r="AA204" t="s">
        <v>74</v>
      </c>
      <c r="AB204" t="s">
        <v>74</v>
      </c>
      <c r="AC204" t="s">
        <v>74</v>
      </c>
      <c r="AD204" t="s">
        <v>74</v>
      </c>
      <c r="AE204" t="s">
        <v>74</v>
      </c>
      <c r="AF204" t="s">
        <v>74</v>
      </c>
      <c r="AG204">
        <v>46</v>
      </c>
      <c r="AH204">
        <v>35</v>
      </c>
      <c r="AI204">
        <v>39</v>
      </c>
      <c r="AJ204">
        <v>0</v>
      </c>
      <c r="AK204">
        <v>17</v>
      </c>
      <c r="AL204" t="s">
        <v>1273</v>
      </c>
      <c r="AM204" t="s">
        <v>197</v>
      </c>
      <c r="AN204" t="s">
        <v>1274</v>
      </c>
      <c r="AO204" t="s">
        <v>1275</v>
      </c>
      <c r="AP204" t="s">
        <v>1276</v>
      </c>
      <c r="AQ204" t="s">
        <v>74</v>
      </c>
      <c r="AR204" t="s">
        <v>1277</v>
      </c>
      <c r="AS204" t="s">
        <v>1278</v>
      </c>
      <c r="AT204" t="s">
        <v>2584</v>
      </c>
      <c r="AU204">
        <v>2004</v>
      </c>
      <c r="AV204">
        <v>51</v>
      </c>
      <c r="AW204">
        <v>11</v>
      </c>
      <c r="AX204" t="s">
        <v>74</v>
      </c>
      <c r="AY204" t="s">
        <v>74</v>
      </c>
      <c r="AZ204" t="s">
        <v>74</v>
      </c>
      <c r="BA204" t="s">
        <v>74</v>
      </c>
      <c r="BB204">
        <v>1601</v>
      </c>
      <c r="BC204">
        <v>1617</v>
      </c>
      <c r="BD204" t="s">
        <v>74</v>
      </c>
      <c r="BE204" t="s">
        <v>3139</v>
      </c>
      <c r="BF204" t="str">
        <f>HYPERLINK("http://dx.doi.org/10.1016/j.dsr.2004.07.006","http://dx.doi.org/10.1016/j.dsr.2004.07.006")</f>
        <v>http://dx.doi.org/10.1016/j.dsr.2004.07.006</v>
      </c>
      <c r="BG204" t="s">
        <v>74</v>
      </c>
      <c r="BH204" t="s">
        <v>74</v>
      </c>
      <c r="BI204">
        <v>17</v>
      </c>
      <c r="BJ204" t="s">
        <v>660</v>
      </c>
      <c r="BK204" t="s">
        <v>139</v>
      </c>
      <c r="BL204" t="s">
        <v>660</v>
      </c>
      <c r="BM204" t="s">
        <v>3096</v>
      </c>
      <c r="BN204" t="s">
        <v>74</v>
      </c>
      <c r="BO204" t="s">
        <v>74</v>
      </c>
      <c r="BP204" t="s">
        <v>74</v>
      </c>
      <c r="BQ204" t="s">
        <v>74</v>
      </c>
      <c r="BR204" t="s">
        <v>98</v>
      </c>
      <c r="BS204" t="s">
        <v>3140</v>
      </c>
      <c r="BT204" t="str">
        <f>HYPERLINK("https%3A%2F%2Fwww.webofscience.com%2Fwos%2Fwoscc%2Ffull-record%2FWOS:000225123100012","View Full Record in Web of Science")</f>
        <v>View Full Record in Web of Science</v>
      </c>
    </row>
    <row r="205" spans="1:72" x14ac:dyDescent="0.15">
      <c r="A205" t="s">
        <v>122</v>
      </c>
      <c r="B205" t="s">
        <v>3141</v>
      </c>
      <c r="C205" t="s">
        <v>74</v>
      </c>
      <c r="D205" t="s">
        <v>74</v>
      </c>
      <c r="E205" t="s">
        <v>74</v>
      </c>
      <c r="F205" t="s">
        <v>3141</v>
      </c>
      <c r="G205" t="s">
        <v>74</v>
      </c>
      <c r="H205" t="s">
        <v>74</v>
      </c>
      <c r="I205" t="s">
        <v>3142</v>
      </c>
      <c r="J205" t="s">
        <v>1263</v>
      </c>
      <c r="K205" t="s">
        <v>74</v>
      </c>
      <c r="L205" t="s">
        <v>74</v>
      </c>
      <c r="M205" t="s">
        <v>79</v>
      </c>
      <c r="N205" t="s">
        <v>126</v>
      </c>
      <c r="O205" t="s">
        <v>74</v>
      </c>
      <c r="P205" t="s">
        <v>74</v>
      </c>
      <c r="Q205" t="s">
        <v>74</v>
      </c>
      <c r="R205" t="s">
        <v>74</v>
      </c>
      <c r="S205" t="s">
        <v>74</v>
      </c>
      <c r="T205" t="s">
        <v>3143</v>
      </c>
      <c r="U205" t="s">
        <v>3144</v>
      </c>
      <c r="V205" t="s">
        <v>3145</v>
      </c>
      <c r="W205" t="s">
        <v>3146</v>
      </c>
      <c r="X205" t="s">
        <v>548</v>
      </c>
      <c r="Y205" t="s">
        <v>3147</v>
      </c>
      <c r="Z205" t="s">
        <v>3148</v>
      </c>
      <c r="AA205" t="s">
        <v>74</v>
      </c>
      <c r="AB205" t="s">
        <v>74</v>
      </c>
      <c r="AC205" t="s">
        <v>74</v>
      </c>
      <c r="AD205" t="s">
        <v>74</v>
      </c>
      <c r="AE205" t="s">
        <v>74</v>
      </c>
      <c r="AF205" t="s">
        <v>74</v>
      </c>
      <c r="AG205">
        <v>71</v>
      </c>
      <c r="AH205">
        <v>89</v>
      </c>
      <c r="AI205">
        <v>99</v>
      </c>
      <c r="AJ205">
        <v>2</v>
      </c>
      <c r="AK205">
        <v>40</v>
      </c>
      <c r="AL205" t="s">
        <v>1273</v>
      </c>
      <c r="AM205" t="s">
        <v>197</v>
      </c>
      <c r="AN205" t="s">
        <v>1274</v>
      </c>
      <c r="AO205" t="s">
        <v>1275</v>
      </c>
      <c r="AP205" t="s">
        <v>1276</v>
      </c>
      <c r="AQ205" t="s">
        <v>74</v>
      </c>
      <c r="AR205" t="s">
        <v>1277</v>
      </c>
      <c r="AS205" t="s">
        <v>1278</v>
      </c>
      <c r="AT205" t="s">
        <v>2584</v>
      </c>
      <c r="AU205">
        <v>2004</v>
      </c>
      <c r="AV205">
        <v>51</v>
      </c>
      <c r="AW205">
        <v>11</v>
      </c>
      <c r="AX205" t="s">
        <v>74</v>
      </c>
      <c r="AY205" t="s">
        <v>74</v>
      </c>
      <c r="AZ205" t="s">
        <v>74</v>
      </c>
      <c r="BA205" t="s">
        <v>74</v>
      </c>
      <c r="BB205">
        <v>1685</v>
      </c>
      <c r="BC205">
        <v>1708</v>
      </c>
      <c r="BD205" t="s">
        <v>74</v>
      </c>
      <c r="BE205" t="s">
        <v>3149</v>
      </c>
      <c r="BF205" t="str">
        <f>HYPERLINK("http://dx.doi.org/10.1016/j.dsr.2004.06.008","http://dx.doi.org/10.1016/j.dsr.2004.06.008")</f>
        <v>http://dx.doi.org/10.1016/j.dsr.2004.06.008</v>
      </c>
      <c r="BG205" t="s">
        <v>74</v>
      </c>
      <c r="BH205" t="s">
        <v>74</v>
      </c>
      <c r="BI205">
        <v>24</v>
      </c>
      <c r="BJ205" t="s">
        <v>660</v>
      </c>
      <c r="BK205" t="s">
        <v>139</v>
      </c>
      <c r="BL205" t="s">
        <v>660</v>
      </c>
      <c r="BM205" t="s">
        <v>3096</v>
      </c>
      <c r="BN205" t="s">
        <v>74</v>
      </c>
      <c r="BO205" t="s">
        <v>74</v>
      </c>
      <c r="BP205" t="s">
        <v>74</v>
      </c>
      <c r="BQ205" t="s">
        <v>74</v>
      </c>
      <c r="BR205" t="s">
        <v>98</v>
      </c>
      <c r="BS205" t="s">
        <v>3150</v>
      </c>
      <c r="BT205" t="str">
        <f>HYPERLINK("https%3A%2F%2Fwww.webofscience.com%2Fwos%2Fwoscc%2Ffull-record%2FWOS:000225123100016","View Full Record in Web of Science")</f>
        <v>View Full Record in Web of Science</v>
      </c>
    </row>
    <row r="206" spans="1:72" x14ac:dyDescent="0.15">
      <c r="A206" t="s">
        <v>122</v>
      </c>
      <c r="B206" t="s">
        <v>3151</v>
      </c>
      <c r="C206" t="s">
        <v>74</v>
      </c>
      <c r="D206" t="s">
        <v>74</v>
      </c>
      <c r="E206" t="s">
        <v>74</v>
      </c>
      <c r="F206" t="s">
        <v>3151</v>
      </c>
      <c r="G206" t="s">
        <v>74</v>
      </c>
      <c r="H206" t="s">
        <v>74</v>
      </c>
      <c r="I206" t="s">
        <v>3152</v>
      </c>
      <c r="J206" t="s">
        <v>3153</v>
      </c>
      <c r="K206" t="s">
        <v>74</v>
      </c>
      <c r="L206" t="s">
        <v>74</v>
      </c>
      <c r="M206" t="s">
        <v>79</v>
      </c>
      <c r="N206" t="s">
        <v>126</v>
      </c>
      <c r="O206" t="s">
        <v>74</v>
      </c>
      <c r="P206" t="s">
        <v>74</v>
      </c>
      <c r="Q206" t="s">
        <v>74</v>
      </c>
      <c r="R206" t="s">
        <v>74</v>
      </c>
      <c r="S206" t="s">
        <v>74</v>
      </c>
      <c r="T206" t="s">
        <v>3154</v>
      </c>
      <c r="U206" t="s">
        <v>3155</v>
      </c>
      <c r="V206" t="s">
        <v>3156</v>
      </c>
      <c r="W206" t="s">
        <v>3157</v>
      </c>
      <c r="X206" t="s">
        <v>3158</v>
      </c>
      <c r="Y206" t="s">
        <v>3159</v>
      </c>
      <c r="Z206" t="s">
        <v>3160</v>
      </c>
      <c r="AA206" t="s">
        <v>3161</v>
      </c>
      <c r="AB206" t="s">
        <v>3162</v>
      </c>
      <c r="AC206" t="s">
        <v>74</v>
      </c>
      <c r="AD206" t="s">
        <v>74</v>
      </c>
      <c r="AE206" t="s">
        <v>74</v>
      </c>
      <c r="AF206" t="s">
        <v>74</v>
      </c>
      <c r="AG206">
        <v>57</v>
      </c>
      <c r="AH206">
        <v>108</v>
      </c>
      <c r="AI206">
        <v>120</v>
      </c>
      <c r="AJ206">
        <v>0</v>
      </c>
      <c r="AK206">
        <v>48</v>
      </c>
      <c r="AL206" t="s">
        <v>1418</v>
      </c>
      <c r="AM206" t="s">
        <v>1419</v>
      </c>
      <c r="AN206" t="s">
        <v>1420</v>
      </c>
      <c r="AO206" t="s">
        <v>3163</v>
      </c>
      <c r="AP206" t="s">
        <v>3164</v>
      </c>
      <c r="AQ206" t="s">
        <v>74</v>
      </c>
      <c r="AR206" t="s">
        <v>3153</v>
      </c>
      <c r="AS206" t="s">
        <v>3165</v>
      </c>
      <c r="AT206" t="s">
        <v>2584</v>
      </c>
      <c r="AU206">
        <v>2004</v>
      </c>
      <c r="AV206">
        <v>85</v>
      </c>
      <c r="AW206">
        <v>11</v>
      </c>
      <c r="AX206" t="s">
        <v>74</v>
      </c>
      <c r="AY206" t="s">
        <v>74</v>
      </c>
      <c r="AZ206" t="s">
        <v>74</v>
      </c>
      <c r="BA206" t="s">
        <v>74</v>
      </c>
      <c r="BB206">
        <v>3105</v>
      </c>
      <c r="BC206">
        <v>3118</v>
      </c>
      <c r="BD206" t="s">
        <v>74</v>
      </c>
      <c r="BE206" t="s">
        <v>3166</v>
      </c>
      <c r="BF206" t="str">
        <f>HYPERLINK("http://dx.doi.org/10.1890/03-0213","http://dx.doi.org/10.1890/03-0213")</f>
        <v>http://dx.doi.org/10.1890/03-0213</v>
      </c>
      <c r="BG206" t="s">
        <v>74</v>
      </c>
      <c r="BH206" t="s">
        <v>74</v>
      </c>
      <c r="BI206">
        <v>14</v>
      </c>
      <c r="BJ206" t="s">
        <v>3165</v>
      </c>
      <c r="BK206" t="s">
        <v>139</v>
      </c>
      <c r="BL206" t="s">
        <v>1305</v>
      </c>
      <c r="BM206" t="s">
        <v>3167</v>
      </c>
      <c r="BN206" t="s">
        <v>74</v>
      </c>
      <c r="BO206" t="s">
        <v>74</v>
      </c>
      <c r="BP206" t="s">
        <v>74</v>
      </c>
      <c r="BQ206" t="s">
        <v>74</v>
      </c>
      <c r="BR206" t="s">
        <v>98</v>
      </c>
      <c r="BS206" t="s">
        <v>3168</v>
      </c>
      <c r="BT206" t="str">
        <f>HYPERLINK("https%3A%2F%2Fwww.webofscience.com%2Fwos%2Fwoscc%2Ffull-record%2FWOS:000225263500019","View Full Record in Web of Science")</f>
        <v>View Full Record in Web of Science</v>
      </c>
    </row>
    <row r="207" spans="1:72" x14ac:dyDescent="0.15">
      <c r="A207" t="s">
        <v>122</v>
      </c>
      <c r="B207" t="s">
        <v>3169</v>
      </c>
      <c r="C207" t="s">
        <v>74</v>
      </c>
      <c r="D207" t="s">
        <v>74</v>
      </c>
      <c r="E207" t="s">
        <v>74</v>
      </c>
      <c r="F207" t="s">
        <v>3169</v>
      </c>
      <c r="G207" t="s">
        <v>74</v>
      </c>
      <c r="H207" t="s">
        <v>74</v>
      </c>
      <c r="I207" t="s">
        <v>3170</v>
      </c>
      <c r="J207" t="s">
        <v>3171</v>
      </c>
      <c r="K207" t="s">
        <v>74</v>
      </c>
      <c r="L207" t="s">
        <v>74</v>
      </c>
      <c r="M207" t="s">
        <v>79</v>
      </c>
      <c r="N207" t="s">
        <v>126</v>
      </c>
      <c r="O207" t="s">
        <v>74</v>
      </c>
      <c r="P207" t="s">
        <v>74</v>
      </c>
      <c r="Q207" t="s">
        <v>74</v>
      </c>
      <c r="R207" t="s">
        <v>74</v>
      </c>
      <c r="S207" t="s">
        <v>74</v>
      </c>
      <c r="T207" t="s">
        <v>74</v>
      </c>
      <c r="U207" t="s">
        <v>3172</v>
      </c>
      <c r="V207" t="s">
        <v>3173</v>
      </c>
      <c r="W207" t="s">
        <v>3174</v>
      </c>
      <c r="X207" t="s">
        <v>3175</v>
      </c>
      <c r="Y207" t="s">
        <v>3176</v>
      </c>
      <c r="Z207" t="s">
        <v>3177</v>
      </c>
      <c r="AA207" t="s">
        <v>3178</v>
      </c>
      <c r="AB207" t="s">
        <v>3179</v>
      </c>
      <c r="AC207" t="s">
        <v>74</v>
      </c>
      <c r="AD207" t="s">
        <v>74</v>
      </c>
      <c r="AE207" t="s">
        <v>74</v>
      </c>
      <c r="AF207" t="s">
        <v>74</v>
      </c>
      <c r="AG207">
        <v>65</v>
      </c>
      <c r="AH207">
        <v>87</v>
      </c>
      <c r="AI207">
        <v>90</v>
      </c>
      <c r="AJ207">
        <v>0</v>
      </c>
      <c r="AK207">
        <v>31</v>
      </c>
      <c r="AL207" t="s">
        <v>1273</v>
      </c>
      <c r="AM207" t="s">
        <v>197</v>
      </c>
      <c r="AN207" t="s">
        <v>1274</v>
      </c>
      <c r="AO207" t="s">
        <v>3180</v>
      </c>
      <c r="AP207" t="s">
        <v>3181</v>
      </c>
      <c r="AQ207" t="s">
        <v>74</v>
      </c>
      <c r="AR207" t="s">
        <v>3182</v>
      </c>
      <c r="AS207" t="s">
        <v>3183</v>
      </c>
      <c r="AT207" t="s">
        <v>3184</v>
      </c>
      <c r="AU207">
        <v>2004</v>
      </c>
      <c r="AV207">
        <v>68</v>
      </c>
      <c r="AW207">
        <v>21</v>
      </c>
      <c r="AX207" t="s">
        <v>74</v>
      </c>
      <c r="AY207" t="s">
        <v>74</v>
      </c>
      <c r="AZ207" t="s">
        <v>74</v>
      </c>
      <c r="BA207" t="s">
        <v>74</v>
      </c>
      <c r="BB207">
        <v>4319</v>
      </c>
      <c r="BC207">
        <v>4333</v>
      </c>
      <c r="BD207" t="s">
        <v>74</v>
      </c>
      <c r="BE207" t="s">
        <v>3185</v>
      </c>
      <c r="BF207" t="str">
        <f>HYPERLINK("http://dx.doi.org/10.1016/j.gca.2004.01.020","http://dx.doi.org/10.1016/j.gca.2004.01.020")</f>
        <v>http://dx.doi.org/10.1016/j.gca.2004.01.020</v>
      </c>
      <c r="BG207" t="s">
        <v>74</v>
      </c>
      <c r="BH207" t="s">
        <v>74</v>
      </c>
      <c r="BI207">
        <v>15</v>
      </c>
      <c r="BJ207" t="s">
        <v>271</v>
      </c>
      <c r="BK207" t="s">
        <v>139</v>
      </c>
      <c r="BL207" t="s">
        <v>271</v>
      </c>
      <c r="BM207" t="s">
        <v>3186</v>
      </c>
      <c r="BN207" t="s">
        <v>74</v>
      </c>
      <c r="BO207" t="s">
        <v>74</v>
      </c>
      <c r="BP207" t="s">
        <v>74</v>
      </c>
      <c r="BQ207" t="s">
        <v>74</v>
      </c>
      <c r="BR207" t="s">
        <v>98</v>
      </c>
      <c r="BS207" t="s">
        <v>3187</v>
      </c>
      <c r="BT207" t="str">
        <f>HYPERLINK("https%3A%2F%2Fwww.webofscience.com%2Fwos%2Fwoscc%2Ffull-record%2FWOS:000224698000004","View Full Record in Web of Science")</f>
        <v>View Full Record in Web of Science</v>
      </c>
    </row>
    <row r="208" spans="1:72" x14ac:dyDescent="0.15">
      <c r="A208" t="s">
        <v>122</v>
      </c>
      <c r="B208" t="s">
        <v>3188</v>
      </c>
      <c r="C208" t="s">
        <v>74</v>
      </c>
      <c r="D208" t="s">
        <v>74</v>
      </c>
      <c r="E208" t="s">
        <v>74</v>
      </c>
      <c r="F208" t="s">
        <v>3188</v>
      </c>
      <c r="G208" t="s">
        <v>74</v>
      </c>
      <c r="H208" t="s">
        <v>74</v>
      </c>
      <c r="I208" t="s">
        <v>3189</v>
      </c>
      <c r="J208" t="s">
        <v>3190</v>
      </c>
      <c r="K208" t="s">
        <v>74</v>
      </c>
      <c r="L208" t="s">
        <v>74</v>
      </c>
      <c r="M208" t="s">
        <v>79</v>
      </c>
      <c r="N208" t="s">
        <v>581</v>
      </c>
      <c r="O208" t="s">
        <v>74</v>
      </c>
      <c r="P208" t="s">
        <v>74</v>
      </c>
      <c r="Q208" t="s">
        <v>74</v>
      </c>
      <c r="R208" t="s">
        <v>74</v>
      </c>
      <c r="S208" t="s">
        <v>74</v>
      </c>
      <c r="T208" t="s">
        <v>3191</v>
      </c>
      <c r="U208" t="s">
        <v>3192</v>
      </c>
      <c r="V208" t="s">
        <v>3193</v>
      </c>
      <c r="W208" t="s">
        <v>3194</v>
      </c>
      <c r="X208" t="s">
        <v>3195</v>
      </c>
      <c r="Y208" t="s">
        <v>3196</v>
      </c>
      <c r="Z208" t="s">
        <v>3197</v>
      </c>
      <c r="AA208" t="s">
        <v>3198</v>
      </c>
      <c r="AB208" t="s">
        <v>74</v>
      </c>
      <c r="AC208" t="s">
        <v>74</v>
      </c>
      <c r="AD208" t="s">
        <v>74</v>
      </c>
      <c r="AE208" t="s">
        <v>74</v>
      </c>
      <c r="AF208" t="s">
        <v>74</v>
      </c>
      <c r="AG208">
        <v>134</v>
      </c>
      <c r="AH208">
        <v>49</v>
      </c>
      <c r="AI208">
        <v>53</v>
      </c>
      <c r="AJ208">
        <v>1</v>
      </c>
      <c r="AK208">
        <v>10</v>
      </c>
      <c r="AL208" t="s">
        <v>3199</v>
      </c>
      <c r="AM208" t="s">
        <v>2601</v>
      </c>
      <c r="AN208" t="s">
        <v>3200</v>
      </c>
      <c r="AO208" t="s">
        <v>3201</v>
      </c>
      <c r="AP208" t="s">
        <v>3202</v>
      </c>
      <c r="AQ208" t="s">
        <v>74</v>
      </c>
      <c r="AR208" t="s">
        <v>3203</v>
      </c>
      <c r="AS208" t="s">
        <v>3204</v>
      </c>
      <c r="AT208" t="s">
        <v>3205</v>
      </c>
      <c r="AU208">
        <v>2004</v>
      </c>
      <c r="AV208">
        <v>116</v>
      </c>
      <c r="AW208" t="s">
        <v>851</v>
      </c>
      <c r="AX208" t="s">
        <v>74</v>
      </c>
      <c r="AY208" t="s">
        <v>74</v>
      </c>
      <c r="AZ208" t="s">
        <v>74</v>
      </c>
      <c r="BA208" t="s">
        <v>74</v>
      </c>
      <c r="BB208">
        <v>1345</v>
      </c>
      <c r="BC208">
        <v>1366</v>
      </c>
      <c r="BD208" t="s">
        <v>74</v>
      </c>
      <c r="BE208" t="s">
        <v>3206</v>
      </c>
      <c r="BF208" t="str">
        <f>HYPERLINK("http://dx.doi.org/10.1130/B2525401.1","http://dx.doi.org/10.1130/B2525401.1")</f>
        <v>http://dx.doi.org/10.1130/B2525401.1</v>
      </c>
      <c r="BG208" t="s">
        <v>74</v>
      </c>
      <c r="BH208" t="s">
        <v>74</v>
      </c>
      <c r="BI208">
        <v>22</v>
      </c>
      <c r="BJ208" t="s">
        <v>248</v>
      </c>
      <c r="BK208" t="s">
        <v>139</v>
      </c>
      <c r="BL208" t="s">
        <v>249</v>
      </c>
      <c r="BM208" t="s">
        <v>3207</v>
      </c>
      <c r="BN208" t="s">
        <v>74</v>
      </c>
      <c r="BO208" t="s">
        <v>74</v>
      </c>
      <c r="BP208" t="s">
        <v>74</v>
      </c>
      <c r="BQ208" t="s">
        <v>74</v>
      </c>
      <c r="BR208" t="s">
        <v>98</v>
      </c>
      <c r="BS208" t="s">
        <v>3208</v>
      </c>
      <c r="BT208" t="str">
        <f>HYPERLINK("https%3A%2F%2Fwww.webofscience.com%2Fwos%2Fwoscc%2Ffull-record%2FWOS:000225006700004","View Full Record in Web of Science")</f>
        <v>View Full Record in Web of Science</v>
      </c>
    </row>
    <row r="209" spans="1:72" x14ac:dyDescent="0.15">
      <c r="A209" t="s">
        <v>122</v>
      </c>
      <c r="B209" t="s">
        <v>3209</v>
      </c>
      <c r="C209" t="s">
        <v>74</v>
      </c>
      <c r="D209" t="s">
        <v>74</v>
      </c>
      <c r="E209" t="s">
        <v>74</v>
      </c>
      <c r="F209" t="s">
        <v>3209</v>
      </c>
      <c r="G209" t="s">
        <v>74</v>
      </c>
      <c r="H209" t="s">
        <v>74</v>
      </c>
      <c r="I209" t="s">
        <v>3210</v>
      </c>
      <c r="J209" t="s">
        <v>3211</v>
      </c>
      <c r="K209" t="s">
        <v>74</v>
      </c>
      <c r="L209" t="s">
        <v>74</v>
      </c>
      <c r="M209" t="s">
        <v>79</v>
      </c>
      <c r="N209" t="s">
        <v>126</v>
      </c>
      <c r="O209" t="s">
        <v>74</v>
      </c>
      <c r="P209" t="s">
        <v>74</v>
      </c>
      <c r="Q209" t="s">
        <v>74</v>
      </c>
      <c r="R209" t="s">
        <v>74</v>
      </c>
      <c r="S209" t="s">
        <v>74</v>
      </c>
      <c r="T209" t="s">
        <v>3212</v>
      </c>
      <c r="U209" t="s">
        <v>3213</v>
      </c>
      <c r="V209" t="s">
        <v>3214</v>
      </c>
      <c r="W209" t="s">
        <v>3215</v>
      </c>
      <c r="X209" t="s">
        <v>3216</v>
      </c>
      <c r="Y209" t="s">
        <v>3217</v>
      </c>
      <c r="Z209" t="s">
        <v>3218</v>
      </c>
      <c r="AA209" t="s">
        <v>3219</v>
      </c>
      <c r="AB209" t="s">
        <v>3220</v>
      </c>
      <c r="AC209" t="s">
        <v>74</v>
      </c>
      <c r="AD209" t="s">
        <v>74</v>
      </c>
      <c r="AE209" t="s">
        <v>74</v>
      </c>
      <c r="AF209" t="s">
        <v>74</v>
      </c>
      <c r="AG209">
        <v>38</v>
      </c>
      <c r="AH209">
        <v>97</v>
      </c>
      <c r="AI209">
        <v>112</v>
      </c>
      <c r="AJ209">
        <v>0</v>
      </c>
      <c r="AK209">
        <v>30</v>
      </c>
      <c r="AL209" t="s">
        <v>3199</v>
      </c>
      <c r="AM209" t="s">
        <v>2601</v>
      </c>
      <c r="AN209" t="s">
        <v>3200</v>
      </c>
      <c r="AO209" t="s">
        <v>3221</v>
      </c>
      <c r="AP209" t="s">
        <v>3222</v>
      </c>
      <c r="AQ209" t="s">
        <v>74</v>
      </c>
      <c r="AR209" t="s">
        <v>3211</v>
      </c>
      <c r="AS209" t="s">
        <v>249</v>
      </c>
      <c r="AT209" t="s">
        <v>2584</v>
      </c>
      <c r="AU209">
        <v>2004</v>
      </c>
      <c r="AV209">
        <v>32</v>
      </c>
      <c r="AW209">
        <v>11</v>
      </c>
      <c r="AX209" t="s">
        <v>74</v>
      </c>
      <c r="AY209" t="s">
        <v>74</v>
      </c>
      <c r="AZ209" t="s">
        <v>74</v>
      </c>
      <c r="BA209" t="s">
        <v>74</v>
      </c>
      <c r="BB209">
        <v>977</v>
      </c>
      <c r="BC209">
        <v>980</v>
      </c>
      <c r="BD209" t="s">
        <v>74</v>
      </c>
      <c r="BE209" t="s">
        <v>3223</v>
      </c>
      <c r="BF209" t="str">
        <f>HYPERLINK("http://dx.doi.org/10.1130/G20768.1","http://dx.doi.org/10.1130/G20768.1")</f>
        <v>http://dx.doi.org/10.1130/G20768.1</v>
      </c>
      <c r="BG209" t="s">
        <v>74</v>
      </c>
      <c r="BH209" t="s">
        <v>74</v>
      </c>
      <c r="BI209">
        <v>4</v>
      </c>
      <c r="BJ209" t="s">
        <v>249</v>
      </c>
      <c r="BK209" t="s">
        <v>139</v>
      </c>
      <c r="BL209" t="s">
        <v>249</v>
      </c>
      <c r="BM209" t="s">
        <v>3224</v>
      </c>
      <c r="BN209" t="s">
        <v>74</v>
      </c>
      <c r="BO209" t="s">
        <v>74</v>
      </c>
      <c r="BP209" t="s">
        <v>74</v>
      </c>
      <c r="BQ209" t="s">
        <v>74</v>
      </c>
      <c r="BR209" t="s">
        <v>98</v>
      </c>
      <c r="BS209" t="s">
        <v>3225</v>
      </c>
      <c r="BT209" t="str">
        <f>HYPERLINK("https%3A%2F%2Fwww.webofscience.com%2Fwos%2Fwoscc%2Ffull-record%2FWOS:000225006800013","View Full Record in Web of Science")</f>
        <v>View Full Record in Web of Science</v>
      </c>
    </row>
    <row r="210" spans="1:72" x14ac:dyDescent="0.15">
      <c r="A210" t="s">
        <v>122</v>
      </c>
      <c r="B210" t="s">
        <v>3226</v>
      </c>
      <c r="C210" t="s">
        <v>74</v>
      </c>
      <c r="D210" t="s">
        <v>74</v>
      </c>
      <c r="E210" t="s">
        <v>74</v>
      </c>
      <c r="F210" t="s">
        <v>3226</v>
      </c>
      <c r="G210" t="s">
        <v>74</v>
      </c>
      <c r="H210" t="s">
        <v>74</v>
      </c>
      <c r="I210" t="s">
        <v>3227</v>
      </c>
      <c r="J210" t="s">
        <v>3211</v>
      </c>
      <c r="K210" t="s">
        <v>74</v>
      </c>
      <c r="L210" t="s">
        <v>74</v>
      </c>
      <c r="M210" t="s">
        <v>79</v>
      </c>
      <c r="N210" t="s">
        <v>126</v>
      </c>
      <c r="O210" t="s">
        <v>74</v>
      </c>
      <c r="P210" t="s">
        <v>74</v>
      </c>
      <c r="Q210" t="s">
        <v>74</v>
      </c>
      <c r="R210" t="s">
        <v>74</v>
      </c>
      <c r="S210" t="s">
        <v>74</v>
      </c>
      <c r="T210" t="s">
        <v>3228</v>
      </c>
      <c r="U210" t="s">
        <v>3229</v>
      </c>
      <c r="V210" t="s">
        <v>3230</v>
      </c>
      <c r="W210" t="s">
        <v>3231</v>
      </c>
      <c r="X210" t="s">
        <v>3232</v>
      </c>
      <c r="Y210" t="s">
        <v>3233</v>
      </c>
      <c r="Z210" t="s">
        <v>3234</v>
      </c>
      <c r="AA210" t="s">
        <v>3235</v>
      </c>
      <c r="AB210" t="s">
        <v>74</v>
      </c>
      <c r="AC210" t="s">
        <v>74</v>
      </c>
      <c r="AD210" t="s">
        <v>74</v>
      </c>
      <c r="AE210" t="s">
        <v>74</v>
      </c>
      <c r="AF210" t="s">
        <v>74</v>
      </c>
      <c r="AG210">
        <v>34</v>
      </c>
      <c r="AH210">
        <v>15</v>
      </c>
      <c r="AI210">
        <v>16</v>
      </c>
      <c r="AJ210">
        <v>0</v>
      </c>
      <c r="AK210">
        <v>8</v>
      </c>
      <c r="AL210" t="s">
        <v>3236</v>
      </c>
      <c r="AM210" t="s">
        <v>2601</v>
      </c>
      <c r="AN210" t="s">
        <v>3200</v>
      </c>
      <c r="AO210" t="s">
        <v>3221</v>
      </c>
      <c r="AP210" t="s">
        <v>74</v>
      </c>
      <c r="AQ210" t="s">
        <v>74</v>
      </c>
      <c r="AR210" t="s">
        <v>3211</v>
      </c>
      <c r="AS210" t="s">
        <v>249</v>
      </c>
      <c r="AT210" t="s">
        <v>2584</v>
      </c>
      <c r="AU210">
        <v>2004</v>
      </c>
      <c r="AV210">
        <v>32</v>
      </c>
      <c r="AW210">
        <v>11</v>
      </c>
      <c r="AX210" t="s">
        <v>74</v>
      </c>
      <c r="AY210" t="s">
        <v>74</v>
      </c>
      <c r="AZ210" t="s">
        <v>74</v>
      </c>
      <c r="BA210" t="s">
        <v>74</v>
      </c>
      <c r="BB210">
        <v>1005</v>
      </c>
      <c r="BC210">
        <v>1008</v>
      </c>
      <c r="BD210" t="s">
        <v>74</v>
      </c>
      <c r="BE210" t="s">
        <v>3237</v>
      </c>
      <c r="BF210" t="str">
        <f>HYPERLINK("http://dx.doi.org/10.1130/G20783.1","http://dx.doi.org/10.1130/G20783.1")</f>
        <v>http://dx.doi.org/10.1130/G20783.1</v>
      </c>
      <c r="BG210" t="s">
        <v>74</v>
      </c>
      <c r="BH210" t="s">
        <v>74</v>
      </c>
      <c r="BI210">
        <v>6</v>
      </c>
      <c r="BJ210" t="s">
        <v>249</v>
      </c>
      <c r="BK210" t="s">
        <v>139</v>
      </c>
      <c r="BL210" t="s">
        <v>249</v>
      </c>
      <c r="BM210" t="s">
        <v>3224</v>
      </c>
      <c r="BN210" t="s">
        <v>74</v>
      </c>
      <c r="BO210" t="s">
        <v>74</v>
      </c>
      <c r="BP210" t="s">
        <v>74</v>
      </c>
      <c r="BQ210" t="s">
        <v>74</v>
      </c>
      <c r="BR210" t="s">
        <v>98</v>
      </c>
      <c r="BS210" t="s">
        <v>3238</v>
      </c>
      <c r="BT210" t="str">
        <f>HYPERLINK("https%3A%2F%2Fwww.webofscience.com%2Fwos%2Fwoscc%2Ffull-record%2FWOS:000225006800020","View Full Record in Web of Science")</f>
        <v>View Full Record in Web of Science</v>
      </c>
    </row>
    <row r="211" spans="1:72" x14ac:dyDescent="0.15">
      <c r="A211" t="s">
        <v>122</v>
      </c>
      <c r="B211" t="s">
        <v>3239</v>
      </c>
      <c r="C211" t="s">
        <v>74</v>
      </c>
      <c r="D211" t="s">
        <v>74</v>
      </c>
      <c r="E211" t="s">
        <v>74</v>
      </c>
      <c r="F211" t="s">
        <v>3239</v>
      </c>
      <c r="G211" t="s">
        <v>74</v>
      </c>
      <c r="H211" t="s">
        <v>74</v>
      </c>
      <c r="I211" t="s">
        <v>3240</v>
      </c>
      <c r="J211" t="s">
        <v>3241</v>
      </c>
      <c r="K211" t="s">
        <v>74</v>
      </c>
      <c r="L211" t="s">
        <v>74</v>
      </c>
      <c r="M211" t="s">
        <v>79</v>
      </c>
      <c r="N211" t="s">
        <v>126</v>
      </c>
      <c r="O211" t="s">
        <v>74</v>
      </c>
      <c r="P211" t="s">
        <v>74</v>
      </c>
      <c r="Q211" t="s">
        <v>74</v>
      </c>
      <c r="R211" t="s">
        <v>74</v>
      </c>
      <c r="S211" t="s">
        <v>74</v>
      </c>
      <c r="T211" t="s">
        <v>3242</v>
      </c>
      <c r="U211" t="s">
        <v>3243</v>
      </c>
      <c r="V211" t="s">
        <v>3244</v>
      </c>
      <c r="W211" t="s">
        <v>3245</v>
      </c>
      <c r="X211" t="s">
        <v>3246</v>
      </c>
      <c r="Y211" t="s">
        <v>3247</v>
      </c>
      <c r="Z211" t="s">
        <v>3248</v>
      </c>
      <c r="AA211" t="s">
        <v>3249</v>
      </c>
      <c r="AB211" t="s">
        <v>3250</v>
      </c>
      <c r="AC211" t="s">
        <v>74</v>
      </c>
      <c r="AD211" t="s">
        <v>74</v>
      </c>
      <c r="AE211" t="s">
        <v>74</v>
      </c>
      <c r="AF211" t="s">
        <v>74</v>
      </c>
      <c r="AG211">
        <v>54</v>
      </c>
      <c r="AH211">
        <v>7</v>
      </c>
      <c r="AI211">
        <v>8</v>
      </c>
      <c r="AJ211">
        <v>0</v>
      </c>
      <c r="AK211">
        <v>13</v>
      </c>
      <c r="AL211" t="s">
        <v>1509</v>
      </c>
      <c r="AM211" t="s">
        <v>1510</v>
      </c>
      <c r="AN211" t="s">
        <v>1511</v>
      </c>
      <c r="AO211" t="s">
        <v>3251</v>
      </c>
      <c r="AP211" t="s">
        <v>3252</v>
      </c>
      <c r="AQ211" t="s">
        <v>74</v>
      </c>
      <c r="AR211" t="s">
        <v>3241</v>
      </c>
      <c r="AS211" t="s">
        <v>3253</v>
      </c>
      <c r="AT211" t="s">
        <v>2584</v>
      </c>
      <c r="AU211">
        <v>2004</v>
      </c>
      <c r="AV211">
        <v>529</v>
      </c>
      <c r="AW211">
        <v>1</v>
      </c>
      <c r="AX211" t="s">
        <v>74</v>
      </c>
      <c r="AY211" t="s">
        <v>74</v>
      </c>
      <c r="AZ211" t="s">
        <v>74</v>
      </c>
      <c r="BA211" t="s">
        <v>74</v>
      </c>
      <c r="BB211">
        <v>59</v>
      </c>
      <c r="BC211">
        <v>70</v>
      </c>
      <c r="BD211" t="s">
        <v>74</v>
      </c>
      <c r="BE211" t="s">
        <v>3254</v>
      </c>
      <c r="BF211" t="str">
        <f>HYPERLINK("http://dx.doi.org/10.1007/s10750-004-4947-3","http://dx.doi.org/10.1007/s10750-004-4947-3")</f>
        <v>http://dx.doi.org/10.1007/s10750-004-4947-3</v>
      </c>
      <c r="BG211" t="s">
        <v>74</v>
      </c>
      <c r="BH211" t="s">
        <v>74</v>
      </c>
      <c r="BI211">
        <v>12</v>
      </c>
      <c r="BJ211" t="s">
        <v>1763</v>
      </c>
      <c r="BK211" t="s">
        <v>139</v>
      </c>
      <c r="BL211" t="s">
        <v>1763</v>
      </c>
      <c r="BM211" t="s">
        <v>3255</v>
      </c>
      <c r="BN211" t="s">
        <v>74</v>
      </c>
      <c r="BO211" t="s">
        <v>74</v>
      </c>
      <c r="BP211" t="s">
        <v>74</v>
      </c>
      <c r="BQ211" t="s">
        <v>74</v>
      </c>
      <c r="BR211" t="s">
        <v>98</v>
      </c>
      <c r="BS211" t="s">
        <v>3256</v>
      </c>
      <c r="BT211" t="str">
        <f>HYPERLINK("https%3A%2F%2Fwww.webofscience.com%2Fwos%2Fwoscc%2Ffull-record%2FWOS:000225042200006","View Full Record in Web of Science")</f>
        <v>View Full Record in Web of Science</v>
      </c>
    </row>
    <row r="212" spans="1:72" x14ac:dyDescent="0.15">
      <c r="A212" t="s">
        <v>122</v>
      </c>
      <c r="B212" t="s">
        <v>3257</v>
      </c>
      <c r="C212" t="s">
        <v>74</v>
      </c>
      <c r="D212" t="s">
        <v>74</v>
      </c>
      <c r="E212" t="s">
        <v>74</v>
      </c>
      <c r="F212" t="s">
        <v>3257</v>
      </c>
      <c r="G212" t="s">
        <v>74</v>
      </c>
      <c r="H212" t="s">
        <v>74</v>
      </c>
      <c r="I212" t="s">
        <v>3258</v>
      </c>
      <c r="J212" t="s">
        <v>3241</v>
      </c>
      <c r="K212" t="s">
        <v>74</v>
      </c>
      <c r="L212" t="s">
        <v>74</v>
      </c>
      <c r="M212" t="s">
        <v>79</v>
      </c>
      <c r="N212" t="s">
        <v>126</v>
      </c>
      <c r="O212" t="s">
        <v>74</v>
      </c>
      <c r="P212" t="s">
        <v>74</v>
      </c>
      <c r="Q212" t="s">
        <v>74</v>
      </c>
      <c r="R212" t="s">
        <v>74</v>
      </c>
      <c r="S212" t="s">
        <v>74</v>
      </c>
      <c r="T212" t="s">
        <v>3259</v>
      </c>
      <c r="U212" t="s">
        <v>3260</v>
      </c>
      <c r="V212" t="s">
        <v>3261</v>
      </c>
      <c r="W212" t="s">
        <v>3262</v>
      </c>
      <c r="X212" t="s">
        <v>3263</v>
      </c>
      <c r="Y212" t="s">
        <v>3264</v>
      </c>
      <c r="Z212" t="s">
        <v>3265</v>
      </c>
      <c r="AA212" t="s">
        <v>74</v>
      </c>
      <c r="AB212" t="s">
        <v>74</v>
      </c>
      <c r="AC212" t="s">
        <v>74</v>
      </c>
      <c r="AD212" t="s">
        <v>74</v>
      </c>
      <c r="AE212" t="s">
        <v>74</v>
      </c>
      <c r="AF212" t="s">
        <v>74</v>
      </c>
      <c r="AG212">
        <v>40</v>
      </c>
      <c r="AH212">
        <v>9</v>
      </c>
      <c r="AI212">
        <v>10</v>
      </c>
      <c r="AJ212">
        <v>0</v>
      </c>
      <c r="AK212">
        <v>5</v>
      </c>
      <c r="AL212" t="s">
        <v>1509</v>
      </c>
      <c r="AM212" t="s">
        <v>1510</v>
      </c>
      <c r="AN212" t="s">
        <v>1511</v>
      </c>
      <c r="AO212" t="s">
        <v>3251</v>
      </c>
      <c r="AP212" t="s">
        <v>3252</v>
      </c>
      <c r="AQ212" t="s">
        <v>74</v>
      </c>
      <c r="AR212" t="s">
        <v>3241</v>
      </c>
      <c r="AS212" t="s">
        <v>3253</v>
      </c>
      <c r="AT212" t="s">
        <v>2584</v>
      </c>
      <c r="AU212">
        <v>2004</v>
      </c>
      <c r="AV212">
        <v>529</v>
      </c>
      <c r="AW212">
        <v>1</v>
      </c>
      <c r="AX212" t="s">
        <v>74</v>
      </c>
      <c r="AY212" t="s">
        <v>74</v>
      </c>
      <c r="AZ212" t="s">
        <v>74</v>
      </c>
      <c r="BA212" t="s">
        <v>74</v>
      </c>
      <c r="BB212">
        <v>237</v>
      </c>
      <c r="BC212">
        <v>250</v>
      </c>
      <c r="BD212" t="s">
        <v>74</v>
      </c>
      <c r="BE212" t="s">
        <v>74</v>
      </c>
      <c r="BF212" t="s">
        <v>74</v>
      </c>
      <c r="BG212" t="s">
        <v>74</v>
      </c>
      <c r="BH212" t="s">
        <v>74</v>
      </c>
      <c r="BI212">
        <v>14</v>
      </c>
      <c r="BJ212" t="s">
        <v>1763</v>
      </c>
      <c r="BK212" t="s">
        <v>139</v>
      </c>
      <c r="BL212" t="s">
        <v>1763</v>
      </c>
      <c r="BM212" t="s">
        <v>3255</v>
      </c>
      <c r="BN212" t="s">
        <v>74</v>
      </c>
      <c r="BO212" t="s">
        <v>74</v>
      </c>
      <c r="BP212" t="s">
        <v>74</v>
      </c>
      <c r="BQ212" t="s">
        <v>74</v>
      </c>
      <c r="BR212" t="s">
        <v>98</v>
      </c>
      <c r="BS212" t="s">
        <v>3266</v>
      </c>
      <c r="BT212" t="str">
        <f>HYPERLINK("https%3A%2F%2Fwww.webofscience.com%2Fwos%2Fwoscc%2Ffull-record%2FWOS:000225042200020","View Full Record in Web of Science")</f>
        <v>View Full Record in Web of Science</v>
      </c>
    </row>
    <row r="213" spans="1:72" x14ac:dyDescent="0.15">
      <c r="A213" t="s">
        <v>122</v>
      </c>
      <c r="B213" t="s">
        <v>3267</v>
      </c>
      <c r="C213" t="s">
        <v>74</v>
      </c>
      <c r="D213" t="s">
        <v>74</v>
      </c>
      <c r="E213" t="s">
        <v>74</v>
      </c>
      <c r="F213" t="s">
        <v>3267</v>
      </c>
      <c r="G213" t="s">
        <v>74</v>
      </c>
      <c r="H213" t="s">
        <v>74</v>
      </c>
      <c r="I213" t="s">
        <v>3268</v>
      </c>
      <c r="J213" t="s">
        <v>3269</v>
      </c>
      <c r="K213" t="s">
        <v>74</v>
      </c>
      <c r="L213" t="s">
        <v>74</v>
      </c>
      <c r="M213" t="s">
        <v>79</v>
      </c>
      <c r="N213" t="s">
        <v>126</v>
      </c>
      <c r="O213" t="s">
        <v>74</v>
      </c>
      <c r="P213" t="s">
        <v>74</v>
      </c>
      <c r="Q213" t="s">
        <v>74</v>
      </c>
      <c r="R213" t="s">
        <v>74</v>
      </c>
      <c r="S213" t="s">
        <v>74</v>
      </c>
      <c r="T213" t="s">
        <v>3270</v>
      </c>
      <c r="U213" t="s">
        <v>3271</v>
      </c>
      <c r="V213" t="s">
        <v>3272</v>
      </c>
      <c r="W213" t="s">
        <v>3273</v>
      </c>
      <c r="X213" t="s">
        <v>3274</v>
      </c>
      <c r="Y213" t="s">
        <v>3275</v>
      </c>
      <c r="Z213" t="s">
        <v>3276</v>
      </c>
      <c r="AA213" t="s">
        <v>74</v>
      </c>
      <c r="AB213" t="s">
        <v>74</v>
      </c>
      <c r="AC213" t="s">
        <v>74</v>
      </c>
      <c r="AD213" t="s">
        <v>74</v>
      </c>
      <c r="AE213" t="s">
        <v>74</v>
      </c>
      <c r="AF213" t="s">
        <v>74</v>
      </c>
      <c r="AG213">
        <v>19</v>
      </c>
      <c r="AH213">
        <v>67</v>
      </c>
      <c r="AI213">
        <v>75</v>
      </c>
      <c r="AJ213">
        <v>1</v>
      </c>
      <c r="AK213">
        <v>18</v>
      </c>
      <c r="AL213" t="s">
        <v>3277</v>
      </c>
      <c r="AM213" t="s">
        <v>3278</v>
      </c>
      <c r="AN213" t="s">
        <v>3279</v>
      </c>
      <c r="AO213" t="s">
        <v>3280</v>
      </c>
      <c r="AP213" t="s">
        <v>3281</v>
      </c>
      <c r="AQ213" t="s">
        <v>74</v>
      </c>
      <c r="AR213" t="s">
        <v>3282</v>
      </c>
      <c r="AS213" t="s">
        <v>3283</v>
      </c>
      <c r="AT213" t="s">
        <v>2584</v>
      </c>
      <c r="AU213">
        <v>2004</v>
      </c>
      <c r="AV213">
        <v>42</v>
      </c>
      <c r="AW213">
        <v>11</v>
      </c>
      <c r="AX213" t="s">
        <v>74</v>
      </c>
      <c r="AY213" t="s">
        <v>74</v>
      </c>
      <c r="AZ213" t="s">
        <v>74</v>
      </c>
      <c r="BA213" t="s">
        <v>74</v>
      </c>
      <c r="BB213">
        <v>2437</v>
      </c>
      <c r="BC213">
        <v>2445</v>
      </c>
      <c r="BD213" t="s">
        <v>74</v>
      </c>
      <c r="BE213" t="s">
        <v>3284</v>
      </c>
      <c r="BF213" t="str">
        <f>HYPERLINK("http://dx.doi.org/10.1109/TGRS.2004.836789","http://dx.doi.org/10.1109/TGRS.2004.836789")</f>
        <v>http://dx.doi.org/10.1109/TGRS.2004.836789</v>
      </c>
      <c r="BG213" t="s">
        <v>74</v>
      </c>
      <c r="BH213" t="s">
        <v>74</v>
      </c>
      <c r="BI213">
        <v>9</v>
      </c>
      <c r="BJ213" t="s">
        <v>3285</v>
      </c>
      <c r="BK213" t="s">
        <v>139</v>
      </c>
      <c r="BL213" t="s">
        <v>3286</v>
      </c>
      <c r="BM213" t="s">
        <v>3287</v>
      </c>
      <c r="BN213" t="s">
        <v>74</v>
      </c>
      <c r="BO213" t="s">
        <v>74</v>
      </c>
      <c r="BP213" t="s">
        <v>74</v>
      </c>
      <c r="BQ213" t="s">
        <v>74</v>
      </c>
      <c r="BR213" t="s">
        <v>98</v>
      </c>
      <c r="BS213" t="s">
        <v>3288</v>
      </c>
      <c r="BT213" t="str">
        <f>HYPERLINK("https%3A%2F%2Fwww.webofscience.com%2Fwos%2Fwoscc%2Ffull-record%2FWOS:000225171900008","View Full Record in Web of Science")</f>
        <v>View Full Record in Web of Science</v>
      </c>
    </row>
    <row r="214" spans="1:72" x14ac:dyDescent="0.15">
      <c r="A214" t="s">
        <v>122</v>
      </c>
      <c r="B214" t="s">
        <v>3289</v>
      </c>
      <c r="C214" t="s">
        <v>74</v>
      </c>
      <c r="D214" t="s">
        <v>74</v>
      </c>
      <c r="E214" t="s">
        <v>74</v>
      </c>
      <c r="F214" t="s">
        <v>3289</v>
      </c>
      <c r="G214" t="s">
        <v>74</v>
      </c>
      <c r="H214" t="s">
        <v>74</v>
      </c>
      <c r="I214" t="s">
        <v>3290</v>
      </c>
      <c r="J214" t="s">
        <v>3291</v>
      </c>
      <c r="K214" t="s">
        <v>74</v>
      </c>
      <c r="L214" t="s">
        <v>74</v>
      </c>
      <c r="M214" t="s">
        <v>79</v>
      </c>
      <c r="N214" t="s">
        <v>126</v>
      </c>
      <c r="O214" t="s">
        <v>74</v>
      </c>
      <c r="P214" t="s">
        <v>74</v>
      </c>
      <c r="Q214" t="s">
        <v>74</v>
      </c>
      <c r="R214" t="s">
        <v>74</v>
      </c>
      <c r="S214" t="s">
        <v>74</v>
      </c>
      <c r="T214" t="s">
        <v>74</v>
      </c>
      <c r="U214" t="s">
        <v>3292</v>
      </c>
      <c r="V214" t="s">
        <v>3293</v>
      </c>
      <c r="W214" t="s">
        <v>3294</v>
      </c>
      <c r="X214" t="s">
        <v>3295</v>
      </c>
      <c r="Y214" t="s">
        <v>3296</v>
      </c>
      <c r="Z214" t="s">
        <v>3297</v>
      </c>
      <c r="AA214" t="s">
        <v>3298</v>
      </c>
      <c r="AB214" t="s">
        <v>3299</v>
      </c>
      <c r="AC214" t="s">
        <v>74</v>
      </c>
      <c r="AD214" t="s">
        <v>74</v>
      </c>
      <c r="AE214" t="s">
        <v>74</v>
      </c>
      <c r="AF214" t="s">
        <v>74</v>
      </c>
      <c r="AG214">
        <v>18</v>
      </c>
      <c r="AH214">
        <v>56</v>
      </c>
      <c r="AI214">
        <v>58</v>
      </c>
      <c r="AJ214">
        <v>1</v>
      </c>
      <c r="AK214">
        <v>8</v>
      </c>
      <c r="AL214" t="s">
        <v>3300</v>
      </c>
      <c r="AM214" t="s">
        <v>375</v>
      </c>
      <c r="AN214" t="s">
        <v>3301</v>
      </c>
      <c r="AO214" t="s">
        <v>3302</v>
      </c>
      <c r="AP214" t="s">
        <v>3303</v>
      </c>
      <c r="AQ214" t="s">
        <v>74</v>
      </c>
      <c r="AR214" t="s">
        <v>3304</v>
      </c>
      <c r="AS214" t="s">
        <v>3305</v>
      </c>
      <c r="AT214" t="s">
        <v>2584</v>
      </c>
      <c r="AU214">
        <v>2004</v>
      </c>
      <c r="AV214">
        <v>54</v>
      </c>
      <c r="AW214" t="s">
        <v>74</v>
      </c>
      <c r="AX214">
        <v>6</v>
      </c>
      <c r="AY214" t="s">
        <v>74</v>
      </c>
      <c r="AZ214" t="s">
        <v>74</v>
      </c>
      <c r="BA214" t="s">
        <v>74</v>
      </c>
      <c r="BB214">
        <v>1969</v>
      </c>
      <c r="BC214">
        <v>1973</v>
      </c>
      <c r="BD214" t="s">
        <v>74</v>
      </c>
      <c r="BE214" t="s">
        <v>3306</v>
      </c>
      <c r="BF214" t="str">
        <f>HYPERLINK("http://dx.doi.org/10.1099/ijs.0.02973-0","http://dx.doi.org/10.1099/ijs.0.02973-0")</f>
        <v>http://dx.doi.org/10.1099/ijs.0.02973-0</v>
      </c>
      <c r="BG214" t="s">
        <v>74</v>
      </c>
      <c r="BH214" t="s">
        <v>74</v>
      </c>
      <c r="BI214">
        <v>5</v>
      </c>
      <c r="BJ214" t="s">
        <v>1536</v>
      </c>
      <c r="BK214" t="s">
        <v>139</v>
      </c>
      <c r="BL214" t="s">
        <v>1536</v>
      </c>
      <c r="BM214" t="s">
        <v>3307</v>
      </c>
      <c r="BN214">
        <v>15545419</v>
      </c>
      <c r="BO214" t="s">
        <v>273</v>
      </c>
      <c r="BP214" t="s">
        <v>74</v>
      </c>
      <c r="BQ214" t="s">
        <v>74</v>
      </c>
      <c r="BR214" t="s">
        <v>98</v>
      </c>
      <c r="BS214" t="s">
        <v>3308</v>
      </c>
      <c r="BT214" t="str">
        <f>HYPERLINK("https%3A%2F%2Fwww.webofscience.com%2Fwos%2Fwoscc%2Ffull-record%2FWOS:000225366000012","View Full Record in Web of Science")</f>
        <v>View Full Record in Web of Science</v>
      </c>
    </row>
    <row r="215" spans="1:72" x14ac:dyDescent="0.15">
      <c r="A215" t="s">
        <v>122</v>
      </c>
      <c r="B215" t="s">
        <v>3309</v>
      </c>
      <c r="C215" t="s">
        <v>74</v>
      </c>
      <c r="D215" t="s">
        <v>74</v>
      </c>
      <c r="E215" t="s">
        <v>74</v>
      </c>
      <c r="F215" t="s">
        <v>3309</v>
      </c>
      <c r="G215" t="s">
        <v>74</v>
      </c>
      <c r="H215" t="s">
        <v>74</v>
      </c>
      <c r="I215" t="s">
        <v>3310</v>
      </c>
      <c r="J215" t="s">
        <v>3311</v>
      </c>
      <c r="K215" t="s">
        <v>74</v>
      </c>
      <c r="L215" t="s">
        <v>74</v>
      </c>
      <c r="M215" t="s">
        <v>79</v>
      </c>
      <c r="N215" t="s">
        <v>126</v>
      </c>
      <c r="O215" t="s">
        <v>74</v>
      </c>
      <c r="P215" t="s">
        <v>74</v>
      </c>
      <c r="Q215" t="s">
        <v>74</v>
      </c>
      <c r="R215" t="s">
        <v>74</v>
      </c>
      <c r="S215" t="s">
        <v>74</v>
      </c>
      <c r="T215" t="s">
        <v>74</v>
      </c>
      <c r="U215" t="s">
        <v>3312</v>
      </c>
      <c r="V215" t="s">
        <v>3313</v>
      </c>
      <c r="W215" t="s">
        <v>3314</v>
      </c>
      <c r="X215" t="s">
        <v>74</v>
      </c>
      <c r="Y215" t="s">
        <v>3315</v>
      </c>
      <c r="Z215" t="s">
        <v>3316</v>
      </c>
      <c r="AA215" t="s">
        <v>3317</v>
      </c>
      <c r="AB215" t="s">
        <v>3318</v>
      </c>
      <c r="AC215" t="s">
        <v>74</v>
      </c>
      <c r="AD215" t="s">
        <v>74</v>
      </c>
      <c r="AE215" t="s">
        <v>74</v>
      </c>
      <c r="AF215" t="s">
        <v>74</v>
      </c>
      <c r="AG215">
        <v>11</v>
      </c>
      <c r="AH215">
        <v>5</v>
      </c>
      <c r="AI215">
        <v>6</v>
      </c>
      <c r="AJ215">
        <v>0</v>
      </c>
      <c r="AK215">
        <v>3</v>
      </c>
      <c r="AL215" t="s">
        <v>1229</v>
      </c>
      <c r="AM215" t="s">
        <v>613</v>
      </c>
      <c r="AN215" t="s">
        <v>1230</v>
      </c>
      <c r="AO215" t="s">
        <v>3319</v>
      </c>
      <c r="AP215" t="s">
        <v>3320</v>
      </c>
      <c r="AQ215" t="s">
        <v>74</v>
      </c>
      <c r="AR215" t="s">
        <v>3321</v>
      </c>
      <c r="AS215" t="s">
        <v>3322</v>
      </c>
      <c r="AT215" t="s">
        <v>3205</v>
      </c>
      <c r="AU215">
        <v>2004</v>
      </c>
      <c r="AV215">
        <v>40</v>
      </c>
      <c r="AW215">
        <v>6</v>
      </c>
      <c r="AX215" t="s">
        <v>74</v>
      </c>
      <c r="AY215" t="s">
        <v>74</v>
      </c>
      <c r="AZ215" t="s">
        <v>74</v>
      </c>
      <c r="BA215" t="s">
        <v>74</v>
      </c>
      <c r="BB215">
        <v>695</v>
      </c>
      <c r="BC215">
        <v>703</v>
      </c>
      <c r="BD215" t="s">
        <v>74</v>
      </c>
      <c r="BE215" t="s">
        <v>74</v>
      </c>
      <c r="BF215" t="s">
        <v>74</v>
      </c>
      <c r="BG215" t="s">
        <v>74</v>
      </c>
      <c r="BH215" t="s">
        <v>74</v>
      </c>
      <c r="BI215">
        <v>9</v>
      </c>
      <c r="BJ215" t="s">
        <v>3323</v>
      </c>
      <c r="BK215" t="s">
        <v>139</v>
      </c>
      <c r="BL215" t="s">
        <v>3323</v>
      </c>
      <c r="BM215" t="s">
        <v>3324</v>
      </c>
      <c r="BN215" t="s">
        <v>74</v>
      </c>
      <c r="BO215" t="s">
        <v>74</v>
      </c>
      <c r="BP215" t="s">
        <v>74</v>
      </c>
      <c r="BQ215" t="s">
        <v>74</v>
      </c>
      <c r="BR215" t="s">
        <v>98</v>
      </c>
      <c r="BS215" t="s">
        <v>3325</v>
      </c>
      <c r="BT215" t="str">
        <f>HYPERLINK("https%3A%2F%2Fwww.webofscience.com%2Fwos%2Fwoscc%2Ffull-record%2FWOS:000225662100005","View Full Record in Web of Science")</f>
        <v>View Full Record in Web of Science</v>
      </c>
    </row>
    <row r="216" spans="1:72" x14ac:dyDescent="0.15">
      <c r="A216" t="s">
        <v>122</v>
      </c>
      <c r="B216" t="s">
        <v>3326</v>
      </c>
      <c r="C216" t="s">
        <v>74</v>
      </c>
      <c r="D216" t="s">
        <v>74</v>
      </c>
      <c r="E216" t="s">
        <v>74</v>
      </c>
      <c r="F216" t="s">
        <v>3326</v>
      </c>
      <c r="G216" t="s">
        <v>74</v>
      </c>
      <c r="H216" t="s">
        <v>74</v>
      </c>
      <c r="I216" t="s">
        <v>3327</v>
      </c>
      <c r="J216" t="s">
        <v>3311</v>
      </c>
      <c r="K216" t="s">
        <v>74</v>
      </c>
      <c r="L216" t="s">
        <v>74</v>
      </c>
      <c r="M216" t="s">
        <v>79</v>
      </c>
      <c r="N216" t="s">
        <v>126</v>
      </c>
      <c r="O216" t="s">
        <v>74</v>
      </c>
      <c r="P216" t="s">
        <v>74</v>
      </c>
      <c r="Q216" t="s">
        <v>74</v>
      </c>
      <c r="R216" t="s">
        <v>74</v>
      </c>
      <c r="S216" t="s">
        <v>74</v>
      </c>
      <c r="T216" t="s">
        <v>74</v>
      </c>
      <c r="U216" t="s">
        <v>3328</v>
      </c>
      <c r="V216" t="s">
        <v>3329</v>
      </c>
      <c r="W216" t="s">
        <v>3330</v>
      </c>
      <c r="X216" t="s">
        <v>74</v>
      </c>
      <c r="Y216" t="s">
        <v>3331</v>
      </c>
      <c r="Z216" t="s">
        <v>74</v>
      </c>
      <c r="AA216" t="s">
        <v>3332</v>
      </c>
      <c r="AB216" t="s">
        <v>74</v>
      </c>
      <c r="AC216" t="s">
        <v>74</v>
      </c>
      <c r="AD216" t="s">
        <v>74</v>
      </c>
      <c r="AE216" t="s">
        <v>74</v>
      </c>
      <c r="AF216" t="s">
        <v>74</v>
      </c>
      <c r="AG216">
        <v>29</v>
      </c>
      <c r="AH216">
        <v>1</v>
      </c>
      <c r="AI216">
        <v>2</v>
      </c>
      <c r="AJ216">
        <v>0</v>
      </c>
      <c r="AK216">
        <v>0</v>
      </c>
      <c r="AL216" t="s">
        <v>1229</v>
      </c>
      <c r="AM216" t="s">
        <v>613</v>
      </c>
      <c r="AN216" t="s">
        <v>1230</v>
      </c>
      <c r="AO216" t="s">
        <v>3319</v>
      </c>
      <c r="AP216" t="s">
        <v>3320</v>
      </c>
      <c r="AQ216" t="s">
        <v>74</v>
      </c>
      <c r="AR216" t="s">
        <v>3321</v>
      </c>
      <c r="AS216" t="s">
        <v>3322</v>
      </c>
      <c r="AT216" t="s">
        <v>3205</v>
      </c>
      <c r="AU216">
        <v>2004</v>
      </c>
      <c r="AV216">
        <v>40</v>
      </c>
      <c r="AW216">
        <v>6</v>
      </c>
      <c r="AX216" t="s">
        <v>74</v>
      </c>
      <c r="AY216" t="s">
        <v>74</v>
      </c>
      <c r="AZ216" t="s">
        <v>74</v>
      </c>
      <c r="BA216" t="s">
        <v>74</v>
      </c>
      <c r="BB216">
        <v>704</v>
      </c>
      <c r="BC216">
        <v>712</v>
      </c>
      <c r="BD216" t="s">
        <v>74</v>
      </c>
      <c r="BE216" t="s">
        <v>74</v>
      </c>
      <c r="BF216" t="s">
        <v>74</v>
      </c>
      <c r="BG216" t="s">
        <v>74</v>
      </c>
      <c r="BH216" t="s">
        <v>74</v>
      </c>
      <c r="BI216">
        <v>9</v>
      </c>
      <c r="BJ216" t="s">
        <v>3323</v>
      </c>
      <c r="BK216" t="s">
        <v>139</v>
      </c>
      <c r="BL216" t="s">
        <v>3323</v>
      </c>
      <c r="BM216" t="s">
        <v>3324</v>
      </c>
      <c r="BN216" t="s">
        <v>74</v>
      </c>
      <c r="BO216" t="s">
        <v>74</v>
      </c>
      <c r="BP216" t="s">
        <v>74</v>
      </c>
      <c r="BQ216" t="s">
        <v>74</v>
      </c>
      <c r="BR216" t="s">
        <v>98</v>
      </c>
      <c r="BS216" t="s">
        <v>3333</v>
      </c>
      <c r="BT216" t="str">
        <f>HYPERLINK("https%3A%2F%2Fwww.webofscience.com%2Fwos%2Fwoscc%2Ffull-record%2FWOS:000225662100006","View Full Record in Web of Science")</f>
        <v>View Full Record in Web of Science</v>
      </c>
    </row>
    <row r="217" spans="1:72" x14ac:dyDescent="0.15">
      <c r="A217" t="s">
        <v>122</v>
      </c>
      <c r="B217" t="s">
        <v>3334</v>
      </c>
      <c r="C217" t="s">
        <v>74</v>
      </c>
      <c r="D217" t="s">
        <v>74</v>
      </c>
      <c r="E217" t="s">
        <v>74</v>
      </c>
      <c r="F217" t="s">
        <v>3334</v>
      </c>
      <c r="G217" t="s">
        <v>74</v>
      </c>
      <c r="H217" t="s">
        <v>74</v>
      </c>
      <c r="I217" t="s">
        <v>3335</v>
      </c>
      <c r="J217" t="s">
        <v>3336</v>
      </c>
      <c r="K217" t="s">
        <v>74</v>
      </c>
      <c r="L217" t="s">
        <v>74</v>
      </c>
      <c r="M217" t="s">
        <v>79</v>
      </c>
      <c r="N217" t="s">
        <v>126</v>
      </c>
      <c r="O217" t="s">
        <v>74</v>
      </c>
      <c r="P217" t="s">
        <v>74</v>
      </c>
      <c r="Q217" t="s">
        <v>74</v>
      </c>
      <c r="R217" t="s">
        <v>74</v>
      </c>
      <c r="S217" t="s">
        <v>74</v>
      </c>
      <c r="T217" t="s">
        <v>3337</v>
      </c>
      <c r="U217" t="s">
        <v>3338</v>
      </c>
      <c r="V217" t="s">
        <v>3339</v>
      </c>
      <c r="W217" t="s">
        <v>3340</v>
      </c>
      <c r="X217" t="s">
        <v>3341</v>
      </c>
      <c r="Y217" t="s">
        <v>3342</v>
      </c>
      <c r="Z217" t="s">
        <v>3343</v>
      </c>
      <c r="AA217" t="s">
        <v>74</v>
      </c>
      <c r="AB217" t="s">
        <v>74</v>
      </c>
      <c r="AC217" t="s">
        <v>74</v>
      </c>
      <c r="AD217" t="s">
        <v>74</v>
      </c>
      <c r="AE217" t="s">
        <v>74</v>
      </c>
      <c r="AF217" t="s">
        <v>74</v>
      </c>
      <c r="AG217">
        <v>43</v>
      </c>
      <c r="AH217">
        <v>20</v>
      </c>
      <c r="AI217">
        <v>22</v>
      </c>
      <c r="AJ217">
        <v>0</v>
      </c>
      <c r="AK217">
        <v>2</v>
      </c>
      <c r="AL217" t="s">
        <v>3344</v>
      </c>
      <c r="AM217" t="s">
        <v>3345</v>
      </c>
      <c r="AN217" t="s">
        <v>3346</v>
      </c>
      <c r="AO217" t="s">
        <v>3347</v>
      </c>
      <c r="AP217" t="s">
        <v>3348</v>
      </c>
      <c r="AQ217" t="s">
        <v>74</v>
      </c>
      <c r="AR217" t="s">
        <v>3349</v>
      </c>
      <c r="AS217" t="s">
        <v>3350</v>
      </c>
      <c r="AT217" t="s">
        <v>2584</v>
      </c>
      <c r="AU217">
        <v>2004</v>
      </c>
      <c r="AV217">
        <v>97</v>
      </c>
      <c r="AW217">
        <v>5</v>
      </c>
      <c r="AX217" t="s">
        <v>74</v>
      </c>
      <c r="AY217" t="s">
        <v>74</v>
      </c>
      <c r="AZ217" t="s">
        <v>74</v>
      </c>
      <c r="BA217" t="s">
        <v>74</v>
      </c>
      <c r="BB217">
        <v>1774</v>
      </c>
      <c r="BC217">
        <v>1780</v>
      </c>
      <c r="BD217" t="s">
        <v>74</v>
      </c>
      <c r="BE217" t="s">
        <v>3351</v>
      </c>
      <c r="BF217" t="str">
        <f>HYPERLINK("http://dx.doi.org/10.1152/japplphysiol.00024.2004","http://dx.doi.org/10.1152/japplphysiol.00024.2004")</f>
        <v>http://dx.doi.org/10.1152/japplphysiol.00024.2004</v>
      </c>
      <c r="BG217" t="s">
        <v>74</v>
      </c>
      <c r="BH217" t="s">
        <v>74</v>
      </c>
      <c r="BI217">
        <v>7</v>
      </c>
      <c r="BJ217" t="s">
        <v>3352</v>
      </c>
      <c r="BK217" t="s">
        <v>139</v>
      </c>
      <c r="BL217" t="s">
        <v>3352</v>
      </c>
      <c r="BM217" t="s">
        <v>3353</v>
      </c>
      <c r="BN217">
        <v>15234955</v>
      </c>
      <c r="BO217" t="s">
        <v>74</v>
      </c>
      <c r="BP217" t="s">
        <v>74</v>
      </c>
      <c r="BQ217" t="s">
        <v>74</v>
      </c>
      <c r="BR217" t="s">
        <v>98</v>
      </c>
      <c r="BS217" t="s">
        <v>3354</v>
      </c>
      <c r="BT217" t="str">
        <f>HYPERLINK("https%3A%2F%2Fwww.webofscience.com%2Fwos%2Fwoscc%2Ffull-record%2FWOS:000224361700031","View Full Record in Web of Science")</f>
        <v>View Full Record in Web of Science</v>
      </c>
    </row>
    <row r="218" spans="1:72" x14ac:dyDescent="0.15">
      <c r="A218" t="s">
        <v>122</v>
      </c>
      <c r="B218" t="s">
        <v>3355</v>
      </c>
      <c r="C218" t="s">
        <v>74</v>
      </c>
      <c r="D218" t="s">
        <v>74</v>
      </c>
      <c r="E218" t="s">
        <v>74</v>
      </c>
      <c r="F218" t="s">
        <v>3355</v>
      </c>
      <c r="G218" t="s">
        <v>74</v>
      </c>
      <c r="H218" t="s">
        <v>74</v>
      </c>
      <c r="I218" t="s">
        <v>3356</v>
      </c>
      <c r="J218" t="s">
        <v>1562</v>
      </c>
      <c r="K218" t="s">
        <v>74</v>
      </c>
      <c r="L218" t="s">
        <v>74</v>
      </c>
      <c r="M218" t="s">
        <v>79</v>
      </c>
      <c r="N218" t="s">
        <v>126</v>
      </c>
      <c r="O218" t="s">
        <v>74</v>
      </c>
      <c r="P218" t="s">
        <v>74</v>
      </c>
      <c r="Q218" t="s">
        <v>74</v>
      </c>
      <c r="R218" t="s">
        <v>74</v>
      </c>
      <c r="S218" t="s">
        <v>74</v>
      </c>
      <c r="T218" t="s">
        <v>74</v>
      </c>
      <c r="U218" t="s">
        <v>3357</v>
      </c>
      <c r="V218" t="s">
        <v>3358</v>
      </c>
      <c r="W218" t="s">
        <v>3359</v>
      </c>
      <c r="X218" t="s">
        <v>2728</v>
      </c>
      <c r="Y218" t="s">
        <v>3360</v>
      </c>
      <c r="Z218" t="s">
        <v>3361</v>
      </c>
      <c r="AA218" t="s">
        <v>74</v>
      </c>
      <c r="AB218" t="s">
        <v>74</v>
      </c>
      <c r="AC218" t="s">
        <v>74</v>
      </c>
      <c r="AD218" t="s">
        <v>74</v>
      </c>
      <c r="AE218" t="s">
        <v>74</v>
      </c>
      <c r="AF218" t="s">
        <v>74</v>
      </c>
      <c r="AG218">
        <v>61</v>
      </c>
      <c r="AH218">
        <v>13</v>
      </c>
      <c r="AI218">
        <v>15</v>
      </c>
      <c r="AJ218">
        <v>1</v>
      </c>
      <c r="AK218">
        <v>2</v>
      </c>
      <c r="AL218" t="s">
        <v>1571</v>
      </c>
      <c r="AM218" t="s">
        <v>1572</v>
      </c>
      <c r="AN218" t="s">
        <v>1573</v>
      </c>
      <c r="AO218" t="s">
        <v>1574</v>
      </c>
      <c r="AP218" t="s">
        <v>1575</v>
      </c>
      <c r="AQ218" t="s">
        <v>74</v>
      </c>
      <c r="AR218" t="s">
        <v>1576</v>
      </c>
      <c r="AS218" t="s">
        <v>1577</v>
      </c>
      <c r="AT218" t="s">
        <v>2584</v>
      </c>
      <c r="AU218">
        <v>2004</v>
      </c>
      <c r="AV218">
        <v>17</v>
      </c>
      <c r="AW218">
        <v>22</v>
      </c>
      <c r="AX218" t="s">
        <v>74</v>
      </c>
      <c r="AY218" t="s">
        <v>74</v>
      </c>
      <c r="AZ218" t="s">
        <v>74</v>
      </c>
      <c r="BA218" t="s">
        <v>74</v>
      </c>
      <c r="BB218">
        <v>4425</v>
      </c>
      <c r="BC218">
        <v>4442</v>
      </c>
      <c r="BD218" t="s">
        <v>74</v>
      </c>
      <c r="BE218" t="s">
        <v>3362</v>
      </c>
      <c r="BF218" t="str">
        <f>HYPERLINK("http://dx.doi.org/10.1175/3221.1","http://dx.doi.org/10.1175/3221.1")</f>
        <v>http://dx.doi.org/10.1175/3221.1</v>
      </c>
      <c r="BG218" t="s">
        <v>74</v>
      </c>
      <c r="BH218" t="s">
        <v>74</v>
      </c>
      <c r="BI218">
        <v>18</v>
      </c>
      <c r="BJ218" t="s">
        <v>291</v>
      </c>
      <c r="BK218" t="s">
        <v>139</v>
      </c>
      <c r="BL218" t="s">
        <v>291</v>
      </c>
      <c r="BM218" t="s">
        <v>3363</v>
      </c>
      <c r="BN218" t="s">
        <v>74</v>
      </c>
      <c r="BO218" t="s">
        <v>2236</v>
      </c>
      <c r="BP218" t="s">
        <v>74</v>
      </c>
      <c r="BQ218" t="s">
        <v>74</v>
      </c>
      <c r="BR218" t="s">
        <v>98</v>
      </c>
      <c r="BS218" t="s">
        <v>3364</v>
      </c>
      <c r="BT218" t="str">
        <f>HYPERLINK("https%3A%2F%2Fwww.webofscience.com%2Fwos%2Fwoscc%2Ffull-record%2FWOS:000225385900009","View Full Record in Web of Science")</f>
        <v>View Full Record in Web of Science</v>
      </c>
    </row>
    <row r="219" spans="1:72" x14ac:dyDescent="0.15">
      <c r="A219" t="s">
        <v>122</v>
      </c>
      <c r="B219" t="s">
        <v>3365</v>
      </c>
      <c r="C219" t="s">
        <v>74</v>
      </c>
      <c r="D219" t="s">
        <v>74</v>
      </c>
      <c r="E219" t="s">
        <v>74</v>
      </c>
      <c r="F219" t="s">
        <v>3365</v>
      </c>
      <c r="G219" t="s">
        <v>74</v>
      </c>
      <c r="H219" t="s">
        <v>74</v>
      </c>
      <c r="I219" t="s">
        <v>3366</v>
      </c>
      <c r="J219" t="s">
        <v>1595</v>
      </c>
      <c r="K219" t="s">
        <v>74</v>
      </c>
      <c r="L219" t="s">
        <v>74</v>
      </c>
      <c r="M219" t="s">
        <v>79</v>
      </c>
      <c r="N219" t="s">
        <v>126</v>
      </c>
      <c r="O219" t="s">
        <v>74</v>
      </c>
      <c r="P219" t="s">
        <v>74</v>
      </c>
      <c r="Q219" t="s">
        <v>74</v>
      </c>
      <c r="R219" t="s">
        <v>74</v>
      </c>
      <c r="S219" t="s">
        <v>74</v>
      </c>
      <c r="T219" t="s">
        <v>3367</v>
      </c>
      <c r="U219" t="s">
        <v>3368</v>
      </c>
      <c r="V219" t="s">
        <v>3369</v>
      </c>
      <c r="W219" t="s">
        <v>3370</v>
      </c>
      <c r="X219" t="s">
        <v>3371</v>
      </c>
      <c r="Y219" t="s">
        <v>3372</v>
      </c>
      <c r="Z219" t="s">
        <v>3373</v>
      </c>
      <c r="AA219" t="s">
        <v>74</v>
      </c>
      <c r="AB219" t="s">
        <v>74</v>
      </c>
      <c r="AC219" t="s">
        <v>74</v>
      </c>
      <c r="AD219" t="s">
        <v>74</v>
      </c>
      <c r="AE219" t="s">
        <v>74</v>
      </c>
      <c r="AF219" t="s">
        <v>74</v>
      </c>
      <c r="AG219">
        <v>36</v>
      </c>
      <c r="AH219">
        <v>49</v>
      </c>
      <c r="AI219">
        <v>51</v>
      </c>
      <c r="AJ219">
        <v>1</v>
      </c>
      <c r="AK219">
        <v>15</v>
      </c>
      <c r="AL219" t="s">
        <v>1603</v>
      </c>
      <c r="AM219" t="s">
        <v>1604</v>
      </c>
      <c r="AN219" t="s">
        <v>1605</v>
      </c>
      <c r="AO219" t="s">
        <v>1606</v>
      </c>
      <c r="AP219" t="s">
        <v>1607</v>
      </c>
      <c r="AQ219" t="s">
        <v>74</v>
      </c>
      <c r="AR219" t="s">
        <v>1608</v>
      </c>
      <c r="AS219" t="s">
        <v>1609</v>
      </c>
      <c r="AT219" t="s">
        <v>2584</v>
      </c>
      <c r="AU219">
        <v>2004</v>
      </c>
      <c r="AV219">
        <v>207</v>
      </c>
      <c r="AW219">
        <v>23</v>
      </c>
      <c r="AX219" t="s">
        <v>74</v>
      </c>
      <c r="AY219" t="s">
        <v>74</v>
      </c>
      <c r="AZ219" t="s">
        <v>74</v>
      </c>
      <c r="BA219" t="s">
        <v>74</v>
      </c>
      <c r="BB219">
        <v>4057</v>
      </c>
      <c r="BC219">
        <v>4065</v>
      </c>
      <c r="BD219" t="s">
        <v>74</v>
      </c>
      <c r="BE219" t="s">
        <v>3374</v>
      </c>
      <c r="BF219" t="str">
        <f>HYPERLINK("http://dx.doi.org/10.1242/jeb.01265","http://dx.doi.org/10.1242/jeb.01265")</f>
        <v>http://dx.doi.org/10.1242/jeb.01265</v>
      </c>
      <c r="BG219" t="s">
        <v>74</v>
      </c>
      <c r="BH219" t="s">
        <v>74</v>
      </c>
      <c r="BI219">
        <v>9</v>
      </c>
      <c r="BJ219" t="s">
        <v>1611</v>
      </c>
      <c r="BK219" t="s">
        <v>139</v>
      </c>
      <c r="BL219" t="s">
        <v>1612</v>
      </c>
      <c r="BM219" t="s">
        <v>3375</v>
      </c>
      <c r="BN219">
        <v>15498951</v>
      </c>
      <c r="BO219" t="s">
        <v>273</v>
      </c>
      <c r="BP219" t="s">
        <v>74</v>
      </c>
      <c r="BQ219" t="s">
        <v>74</v>
      </c>
      <c r="BR219" t="s">
        <v>98</v>
      </c>
      <c r="BS219" t="s">
        <v>3376</v>
      </c>
      <c r="BT219" t="str">
        <f>HYPERLINK("https%3A%2F%2Fwww.webofscience.com%2Fwos%2Fwoscc%2Ffull-record%2FWOS:000225775800015","View Full Record in Web of Science")</f>
        <v>View Full Record in Web of Science</v>
      </c>
    </row>
    <row r="220" spans="1:72" x14ac:dyDescent="0.15">
      <c r="A220" t="s">
        <v>122</v>
      </c>
      <c r="B220" t="s">
        <v>3377</v>
      </c>
      <c r="C220" t="s">
        <v>74</v>
      </c>
      <c r="D220" t="s">
        <v>74</v>
      </c>
      <c r="E220" t="s">
        <v>74</v>
      </c>
      <c r="F220" t="s">
        <v>3377</v>
      </c>
      <c r="G220" t="s">
        <v>74</v>
      </c>
      <c r="H220" t="s">
        <v>74</v>
      </c>
      <c r="I220" t="s">
        <v>3378</v>
      </c>
      <c r="J220" t="s">
        <v>1677</v>
      </c>
      <c r="K220" t="s">
        <v>74</v>
      </c>
      <c r="L220" t="s">
        <v>74</v>
      </c>
      <c r="M220" t="s">
        <v>79</v>
      </c>
      <c r="N220" t="s">
        <v>126</v>
      </c>
      <c r="O220" t="s">
        <v>74</v>
      </c>
      <c r="P220" t="s">
        <v>74</v>
      </c>
      <c r="Q220" t="s">
        <v>74</v>
      </c>
      <c r="R220" t="s">
        <v>74</v>
      </c>
      <c r="S220" t="s">
        <v>74</v>
      </c>
      <c r="T220" t="s">
        <v>74</v>
      </c>
      <c r="U220" t="s">
        <v>3379</v>
      </c>
      <c r="V220" t="s">
        <v>3380</v>
      </c>
      <c r="W220" t="s">
        <v>3381</v>
      </c>
      <c r="X220" t="s">
        <v>3382</v>
      </c>
      <c r="Y220" t="s">
        <v>3383</v>
      </c>
      <c r="Z220" t="s">
        <v>3384</v>
      </c>
      <c r="AA220" t="s">
        <v>3385</v>
      </c>
      <c r="AB220" t="s">
        <v>3386</v>
      </c>
      <c r="AC220" t="s">
        <v>74</v>
      </c>
      <c r="AD220" t="s">
        <v>74</v>
      </c>
      <c r="AE220" t="s">
        <v>74</v>
      </c>
      <c r="AF220" t="s">
        <v>74</v>
      </c>
      <c r="AG220">
        <v>60</v>
      </c>
      <c r="AH220">
        <v>9</v>
      </c>
      <c r="AI220">
        <v>9</v>
      </c>
      <c r="AJ220">
        <v>0</v>
      </c>
      <c r="AK220">
        <v>2</v>
      </c>
      <c r="AL220" t="s">
        <v>1571</v>
      </c>
      <c r="AM220" t="s">
        <v>1572</v>
      </c>
      <c r="AN220" t="s">
        <v>1573</v>
      </c>
      <c r="AO220" t="s">
        <v>1686</v>
      </c>
      <c r="AP220" t="s">
        <v>1687</v>
      </c>
      <c r="AQ220" t="s">
        <v>74</v>
      </c>
      <c r="AR220" t="s">
        <v>1688</v>
      </c>
      <c r="AS220" t="s">
        <v>1689</v>
      </c>
      <c r="AT220" t="s">
        <v>2584</v>
      </c>
      <c r="AU220">
        <v>2004</v>
      </c>
      <c r="AV220">
        <v>34</v>
      </c>
      <c r="AW220">
        <v>11</v>
      </c>
      <c r="AX220" t="s">
        <v>74</v>
      </c>
      <c r="AY220" t="s">
        <v>74</v>
      </c>
      <c r="AZ220" t="s">
        <v>74</v>
      </c>
      <c r="BA220" t="s">
        <v>74</v>
      </c>
      <c r="BB220">
        <v>2492</v>
      </c>
      <c r="BC220">
        <v>2513</v>
      </c>
      <c r="BD220" t="s">
        <v>74</v>
      </c>
      <c r="BE220" t="s">
        <v>3387</v>
      </c>
      <c r="BF220" t="str">
        <f>HYPERLINK("http://dx.doi.org/10.1175/JPO2643.1","http://dx.doi.org/10.1175/JPO2643.1")</f>
        <v>http://dx.doi.org/10.1175/JPO2643.1</v>
      </c>
      <c r="BG220" t="s">
        <v>74</v>
      </c>
      <c r="BH220" t="s">
        <v>74</v>
      </c>
      <c r="BI220">
        <v>22</v>
      </c>
      <c r="BJ220" t="s">
        <v>660</v>
      </c>
      <c r="BK220" t="s">
        <v>139</v>
      </c>
      <c r="BL220" t="s">
        <v>660</v>
      </c>
      <c r="BM220" t="s">
        <v>3388</v>
      </c>
      <c r="BN220" t="s">
        <v>74</v>
      </c>
      <c r="BO220" t="s">
        <v>2236</v>
      </c>
      <c r="BP220" t="s">
        <v>74</v>
      </c>
      <c r="BQ220" t="s">
        <v>74</v>
      </c>
      <c r="BR220" t="s">
        <v>98</v>
      </c>
      <c r="BS220" t="s">
        <v>3389</v>
      </c>
      <c r="BT220" t="str">
        <f>HYPERLINK("https%3A%2F%2Fwww.webofscience.com%2Fwos%2Fwoscc%2Ffull-record%2FWOS:000225584900011","View Full Record in Web of Science")</f>
        <v>View Full Record in Web of Science</v>
      </c>
    </row>
    <row r="221" spans="1:72" x14ac:dyDescent="0.15">
      <c r="A221" t="s">
        <v>122</v>
      </c>
      <c r="B221" t="s">
        <v>3390</v>
      </c>
      <c r="C221" t="s">
        <v>74</v>
      </c>
      <c r="D221" t="s">
        <v>74</v>
      </c>
      <c r="E221" t="s">
        <v>74</v>
      </c>
      <c r="F221" t="s">
        <v>3390</v>
      </c>
      <c r="G221" t="s">
        <v>74</v>
      </c>
      <c r="H221" t="s">
        <v>74</v>
      </c>
      <c r="I221" t="s">
        <v>3391</v>
      </c>
      <c r="J221" t="s">
        <v>1695</v>
      </c>
      <c r="K221" t="s">
        <v>74</v>
      </c>
      <c r="L221" t="s">
        <v>74</v>
      </c>
      <c r="M221" t="s">
        <v>79</v>
      </c>
      <c r="N221" t="s">
        <v>126</v>
      </c>
      <c r="O221" t="s">
        <v>74</v>
      </c>
      <c r="P221" t="s">
        <v>74</v>
      </c>
      <c r="Q221" t="s">
        <v>74</v>
      </c>
      <c r="R221" t="s">
        <v>74</v>
      </c>
      <c r="S221" t="s">
        <v>74</v>
      </c>
      <c r="T221" t="s">
        <v>74</v>
      </c>
      <c r="U221" t="s">
        <v>3392</v>
      </c>
      <c r="V221" t="s">
        <v>3393</v>
      </c>
      <c r="W221" t="s">
        <v>3394</v>
      </c>
      <c r="X221" t="s">
        <v>3395</v>
      </c>
      <c r="Y221" t="s">
        <v>3396</v>
      </c>
      <c r="Z221" t="s">
        <v>3397</v>
      </c>
      <c r="AA221" t="s">
        <v>3398</v>
      </c>
      <c r="AB221" t="s">
        <v>3399</v>
      </c>
      <c r="AC221" t="s">
        <v>74</v>
      </c>
      <c r="AD221" t="s">
        <v>74</v>
      </c>
      <c r="AE221" t="s">
        <v>74</v>
      </c>
      <c r="AF221" t="s">
        <v>74</v>
      </c>
      <c r="AG221">
        <v>41</v>
      </c>
      <c r="AH221">
        <v>23</v>
      </c>
      <c r="AI221">
        <v>29</v>
      </c>
      <c r="AJ221">
        <v>0</v>
      </c>
      <c r="AK221">
        <v>3</v>
      </c>
      <c r="AL221" t="s">
        <v>196</v>
      </c>
      <c r="AM221" t="s">
        <v>197</v>
      </c>
      <c r="AN221" t="s">
        <v>198</v>
      </c>
      <c r="AO221" t="s">
        <v>1704</v>
      </c>
      <c r="AP221" t="s">
        <v>74</v>
      </c>
      <c r="AQ221" t="s">
        <v>74</v>
      </c>
      <c r="AR221" t="s">
        <v>1706</v>
      </c>
      <c r="AS221" t="s">
        <v>1707</v>
      </c>
      <c r="AT221" t="s">
        <v>2584</v>
      </c>
      <c r="AU221">
        <v>2004</v>
      </c>
      <c r="AV221">
        <v>26</v>
      </c>
      <c r="AW221">
        <v>11</v>
      </c>
      <c r="AX221" t="s">
        <v>74</v>
      </c>
      <c r="AY221" t="s">
        <v>74</v>
      </c>
      <c r="AZ221" t="s">
        <v>74</v>
      </c>
      <c r="BA221" t="s">
        <v>74</v>
      </c>
      <c r="BB221">
        <v>1315</v>
      </c>
      <c r="BC221">
        <v>1325</v>
      </c>
      <c r="BD221" t="s">
        <v>74</v>
      </c>
      <c r="BE221" t="s">
        <v>3400</v>
      </c>
      <c r="BF221" t="str">
        <f>HYPERLINK("http://dx.doi.org/10.1093/plankt/fbh122","http://dx.doi.org/10.1093/plankt/fbh122")</f>
        <v>http://dx.doi.org/10.1093/plankt/fbh122</v>
      </c>
      <c r="BG221" t="s">
        <v>74</v>
      </c>
      <c r="BH221" t="s">
        <v>74</v>
      </c>
      <c r="BI221">
        <v>11</v>
      </c>
      <c r="BJ221" t="s">
        <v>1709</v>
      </c>
      <c r="BK221" t="s">
        <v>139</v>
      </c>
      <c r="BL221" t="s">
        <v>1709</v>
      </c>
      <c r="BM221" t="s">
        <v>3401</v>
      </c>
      <c r="BN221" t="s">
        <v>74</v>
      </c>
      <c r="BO221" t="s">
        <v>273</v>
      </c>
      <c r="BP221" t="s">
        <v>74</v>
      </c>
      <c r="BQ221" t="s">
        <v>74</v>
      </c>
      <c r="BR221" t="s">
        <v>98</v>
      </c>
      <c r="BS221" t="s">
        <v>3402</v>
      </c>
      <c r="BT221" t="str">
        <f>HYPERLINK("https%3A%2F%2Fwww.webofscience.com%2Fwos%2Fwoscc%2Ffull-record%2FWOS:000225259800006","View Full Record in Web of Science")</f>
        <v>View Full Record in Web of Science</v>
      </c>
    </row>
    <row r="222" spans="1:72" x14ac:dyDescent="0.15">
      <c r="A222" t="s">
        <v>122</v>
      </c>
      <c r="B222" t="s">
        <v>3403</v>
      </c>
      <c r="C222" t="s">
        <v>74</v>
      </c>
      <c r="D222" t="s">
        <v>74</v>
      </c>
      <c r="E222" t="s">
        <v>74</v>
      </c>
      <c r="F222" t="s">
        <v>3403</v>
      </c>
      <c r="G222" t="s">
        <v>74</v>
      </c>
      <c r="H222" t="s">
        <v>74</v>
      </c>
      <c r="I222" t="s">
        <v>3404</v>
      </c>
      <c r="J222" t="s">
        <v>3405</v>
      </c>
      <c r="K222" t="s">
        <v>74</v>
      </c>
      <c r="L222" t="s">
        <v>74</v>
      </c>
      <c r="M222" t="s">
        <v>79</v>
      </c>
      <c r="N222" t="s">
        <v>126</v>
      </c>
      <c r="O222" t="s">
        <v>74</v>
      </c>
      <c r="P222" t="s">
        <v>74</v>
      </c>
      <c r="Q222" t="s">
        <v>74</v>
      </c>
      <c r="R222" t="s">
        <v>74</v>
      </c>
      <c r="S222" t="s">
        <v>74</v>
      </c>
      <c r="T222" t="s">
        <v>3406</v>
      </c>
      <c r="U222" t="s">
        <v>3407</v>
      </c>
      <c r="V222" t="s">
        <v>3408</v>
      </c>
      <c r="W222" t="s">
        <v>3409</v>
      </c>
      <c r="X222" t="s">
        <v>3410</v>
      </c>
      <c r="Y222" t="s">
        <v>1527</v>
      </c>
      <c r="Z222" t="s">
        <v>1528</v>
      </c>
      <c r="AA222" t="s">
        <v>3411</v>
      </c>
      <c r="AB222" t="s">
        <v>3412</v>
      </c>
      <c r="AC222" t="s">
        <v>74</v>
      </c>
      <c r="AD222" t="s">
        <v>74</v>
      </c>
      <c r="AE222" t="s">
        <v>74</v>
      </c>
      <c r="AF222" t="s">
        <v>74</v>
      </c>
      <c r="AG222">
        <v>54</v>
      </c>
      <c r="AH222">
        <v>61</v>
      </c>
      <c r="AI222">
        <v>64</v>
      </c>
      <c r="AJ222">
        <v>0</v>
      </c>
      <c r="AK222">
        <v>23</v>
      </c>
      <c r="AL222" t="s">
        <v>2170</v>
      </c>
      <c r="AM222" t="s">
        <v>240</v>
      </c>
      <c r="AN222" t="s">
        <v>2171</v>
      </c>
      <c r="AO222" t="s">
        <v>3413</v>
      </c>
      <c r="AP222" t="s">
        <v>3414</v>
      </c>
      <c r="AQ222" t="s">
        <v>74</v>
      </c>
      <c r="AR222" t="s">
        <v>3415</v>
      </c>
      <c r="AS222" t="s">
        <v>3416</v>
      </c>
      <c r="AT222" t="s">
        <v>3205</v>
      </c>
      <c r="AU222">
        <v>2004</v>
      </c>
      <c r="AV222">
        <v>3</v>
      </c>
      <c r="AW222">
        <v>6</v>
      </c>
      <c r="AX222" t="s">
        <v>74</v>
      </c>
      <c r="AY222" t="s">
        <v>74</v>
      </c>
      <c r="AZ222" t="s">
        <v>74</v>
      </c>
      <c r="BA222" t="s">
        <v>74</v>
      </c>
      <c r="BB222">
        <v>1164</v>
      </c>
      <c r="BC222">
        <v>1176</v>
      </c>
      <c r="BD222" t="s">
        <v>74</v>
      </c>
      <c r="BE222" t="s">
        <v>3417</v>
      </c>
      <c r="BF222" t="str">
        <f>HYPERLINK("http://dx.doi.org/10.1021/pr0498988","http://dx.doi.org/10.1021/pr0498988")</f>
        <v>http://dx.doi.org/10.1021/pr0498988</v>
      </c>
      <c r="BG222" t="s">
        <v>74</v>
      </c>
      <c r="BH222" t="s">
        <v>74</v>
      </c>
      <c r="BI222">
        <v>13</v>
      </c>
      <c r="BJ222" t="s">
        <v>3418</v>
      </c>
      <c r="BK222" t="s">
        <v>139</v>
      </c>
      <c r="BL222" t="s">
        <v>1214</v>
      </c>
      <c r="BM222" t="s">
        <v>3419</v>
      </c>
      <c r="BN222">
        <v>15595725</v>
      </c>
      <c r="BO222" t="s">
        <v>74</v>
      </c>
      <c r="BP222" t="s">
        <v>74</v>
      </c>
      <c r="BQ222" t="s">
        <v>74</v>
      </c>
      <c r="BR222" t="s">
        <v>98</v>
      </c>
      <c r="BS222" t="s">
        <v>3420</v>
      </c>
      <c r="BT222" t="str">
        <f>HYPERLINK("https%3A%2F%2Fwww.webofscience.com%2Fwos%2Fwoscc%2Ffull-record%2FWOS:000225847300008","View Full Record in Web of Science")</f>
        <v>View Full Record in Web of Science</v>
      </c>
    </row>
    <row r="223" spans="1:72" x14ac:dyDescent="0.15">
      <c r="A223" t="s">
        <v>122</v>
      </c>
      <c r="B223" t="s">
        <v>3421</v>
      </c>
      <c r="C223" t="s">
        <v>74</v>
      </c>
      <c r="D223" t="s">
        <v>74</v>
      </c>
      <c r="E223" t="s">
        <v>74</v>
      </c>
      <c r="F223" t="s">
        <v>3421</v>
      </c>
      <c r="G223" t="s">
        <v>74</v>
      </c>
      <c r="H223" t="s">
        <v>74</v>
      </c>
      <c r="I223" t="s">
        <v>3422</v>
      </c>
      <c r="J223" t="s">
        <v>3423</v>
      </c>
      <c r="K223" t="s">
        <v>74</v>
      </c>
      <c r="L223" t="s">
        <v>74</v>
      </c>
      <c r="M223" t="s">
        <v>79</v>
      </c>
      <c r="N223" t="s">
        <v>746</v>
      </c>
      <c r="O223" t="s">
        <v>74</v>
      </c>
      <c r="P223" t="s">
        <v>74</v>
      </c>
      <c r="Q223" t="s">
        <v>74</v>
      </c>
      <c r="R223" t="s">
        <v>74</v>
      </c>
      <c r="S223" t="s">
        <v>74</v>
      </c>
      <c r="T223" t="s">
        <v>74</v>
      </c>
      <c r="U223" t="s">
        <v>74</v>
      </c>
      <c r="V223" t="s">
        <v>74</v>
      </c>
      <c r="W223" t="s">
        <v>3424</v>
      </c>
      <c r="X223" t="s">
        <v>74</v>
      </c>
      <c r="Y223" t="s">
        <v>3425</v>
      </c>
      <c r="Z223" t="s">
        <v>74</v>
      </c>
      <c r="AA223" t="s">
        <v>74</v>
      </c>
      <c r="AB223" t="s">
        <v>74</v>
      </c>
      <c r="AC223" t="s">
        <v>74</v>
      </c>
      <c r="AD223" t="s">
        <v>74</v>
      </c>
      <c r="AE223" t="s">
        <v>74</v>
      </c>
      <c r="AF223" t="s">
        <v>74</v>
      </c>
      <c r="AG223">
        <v>1</v>
      </c>
      <c r="AH223">
        <v>0</v>
      </c>
      <c r="AI223">
        <v>0</v>
      </c>
      <c r="AJ223">
        <v>0</v>
      </c>
      <c r="AK223">
        <v>0</v>
      </c>
      <c r="AL223" t="s">
        <v>3426</v>
      </c>
      <c r="AM223" t="s">
        <v>613</v>
      </c>
      <c r="AN223" t="s">
        <v>3427</v>
      </c>
      <c r="AO223" t="s">
        <v>3428</v>
      </c>
      <c r="AP223" t="s">
        <v>74</v>
      </c>
      <c r="AQ223" t="s">
        <v>74</v>
      </c>
      <c r="AR223" t="s">
        <v>3429</v>
      </c>
      <c r="AS223" t="s">
        <v>3430</v>
      </c>
      <c r="AT223" t="s">
        <v>3184</v>
      </c>
      <c r="AU223">
        <v>2004</v>
      </c>
      <c r="AV223">
        <v>129</v>
      </c>
      <c r="AW223">
        <v>18</v>
      </c>
      <c r="AX223" t="s">
        <v>74</v>
      </c>
      <c r="AY223" t="s">
        <v>74</v>
      </c>
      <c r="AZ223" t="s">
        <v>74</v>
      </c>
      <c r="BA223" t="s">
        <v>74</v>
      </c>
      <c r="BB223">
        <v>66</v>
      </c>
      <c r="BC223">
        <v>66</v>
      </c>
      <c r="BD223" t="s">
        <v>74</v>
      </c>
      <c r="BE223" t="s">
        <v>74</v>
      </c>
      <c r="BF223" t="s">
        <v>74</v>
      </c>
      <c r="BG223" t="s">
        <v>74</v>
      </c>
      <c r="BH223" t="s">
        <v>74</v>
      </c>
      <c r="BI223">
        <v>1</v>
      </c>
      <c r="BJ223" t="s">
        <v>3431</v>
      </c>
      <c r="BK223" t="s">
        <v>3432</v>
      </c>
      <c r="BL223" t="s">
        <v>3431</v>
      </c>
      <c r="BM223" t="s">
        <v>3433</v>
      </c>
      <c r="BN223" t="s">
        <v>74</v>
      </c>
      <c r="BO223" t="s">
        <v>74</v>
      </c>
      <c r="BP223" t="s">
        <v>74</v>
      </c>
      <c r="BQ223" t="s">
        <v>74</v>
      </c>
      <c r="BR223" t="s">
        <v>98</v>
      </c>
      <c r="BS223" t="s">
        <v>3434</v>
      </c>
      <c r="BT223" t="str">
        <f>HYPERLINK("https%3A%2F%2Fwww.webofscience.com%2Fwos%2Fwoscc%2Ffull-record%2FWOS:000224827400049","View Full Record in Web of Science")</f>
        <v>View Full Record in Web of Science</v>
      </c>
    </row>
    <row r="224" spans="1:72" x14ac:dyDescent="0.15">
      <c r="A224" t="s">
        <v>122</v>
      </c>
      <c r="B224" t="s">
        <v>3435</v>
      </c>
      <c r="C224" t="s">
        <v>74</v>
      </c>
      <c r="D224" t="s">
        <v>74</v>
      </c>
      <c r="E224" t="s">
        <v>74</v>
      </c>
      <c r="F224" t="s">
        <v>3435</v>
      </c>
      <c r="G224" t="s">
        <v>74</v>
      </c>
      <c r="H224" t="s">
        <v>74</v>
      </c>
      <c r="I224" t="s">
        <v>3436</v>
      </c>
      <c r="J224" t="s">
        <v>3437</v>
      </c>
      <c r="K224" t="s">
        <v>74</v>
      </c>
      <c r="L224" t="s">
        <v>74</v>
      </c>
      <c r="M224" t="s">
        <v>79</v>
      </c>
      <c r="N224" t="s">
        <v>126</v>
      </c>
      <c r="O224" t="s">
        <v>74</v>
      </c>
      <c r="P224" t="s">
        <v>74</v>
      </c>
      <c r="Q224" t="s">
        <v>74</v>
      </c>
      <c r="R224" t="s">
        <v>74</v>
      </c>
      <c r="S224" t="s">
        <v>74</v>
      </c>
      <c r="T224" t="s">
        <v>3438</v>
      </c>
      <c r="U224" t="s">
        <v>3439</v>
      </c>
      <c r="V224" t="s">
        <v>3440</v>
      </c>
      <c r="W224" t="s">
        <v>3441</v>
      </c>
      <c r="X224" t="s">
        <v>3442</v>
      </c>
      <c r="Y224" t="s">
        <v>3443</v>
      </c>
      <c r="Z224" t="s">
        <v>74</v>
      </c>
      <c r="AA224" t="s">
        <v>74</v>
      </c>
      <c r="AB224" t="s">
        <v>74</v>
      </c>
      <c r="AC224" t="s">
        <v>74</v>
      </c>
      <c r="AD224" t="s">
        <v>74</v>
      </c>
      <c r="AE224" t="s">
        <v>74</v>
      </c>
      <c r="AF224" t="s">
        <v>74</v>
      </c>
      <c r="AG224">
        <v>30</v>
      </c>
      <c r="AH224">
        <v>6</v>
      </c>
      <c r="AI224">
        <v>10</v>
      </c>
      <c r="AJ224">
        <v>0</v>
      </c>
      <c r="AK224">
        <v>8</v>
      </c>
      <c r="AL224" t="s">
        <v>919</v>
      </c>
      <c r="AM224" t="s">
        <v>1604</v>
      </c>
      <c r="AN224" t="s">
        <v>3444</v>
      </c>
      <c r="AO224" t="s">
        <v>3445</v>
      </c>
      <c r="AP224" t="s">
        <v>3446</v>
      </c>
      <c r="AQ224" t="s">
        <v>74</v>
      </c>
      <c r="AR224" t="s">
        <v>3437</v>
      </c>
      <c r="AS224" t="s">
        <v>3447</v>
      </c>
      <c r="AT224" t="s">
        <v>2584</v>
      </c>
      <c r="AU224">
        <v>2004</v>
      </c>
      <c r="AV224">
        <v>36</v>
      </c>
      <c r="AW224" t="s">
        <v>74</v>
      </c>
      <c r="AX224">
        <v>6</v>
      </c>
      <c r="AY224" t="s">
        <v>74</v>
      </c>
      <c r="AZ224" t="s">
        <v>74</v>
      </c>
      <c r="BA224" t="s">
        <v>74</v>
      </c>
      <c r="BB224">
        <v>413</v>
      </c>
      <c r="BC224">
        <v>423</v>
      </c>
      <c r="BD224" t="s">
        <v>74</v>
      </c>
      <c r="BE224" t="s">
        <v>3448</v>
      </c>
      <c r="BF224" t="str">
        <f>HYPERLINK("http://dx.doi.org/10.1017/S0024282904014380","http://dx.doi.org/10.1017/S0024282904014380")</f>
        <v>http://dx.doi.org/10.1017/S0024282904014380</v>
      </c>
      <c r="BG224" t="s">
        <v>74</v>
      </c>
      <c r="BH224" t="s">
        <v>74</v>
      </c>
      <c r="BI224">
        <v>11</v>
      </c>
      <c r="BJ224" t="s">
        <v>3449</v>
      </c>
      <c r="BK224" t="s">
        <v>139</v>
      </c>
      <c r="BL224" t="s">
        <v>3449</v>
      </c>
      <c r="BM224" t="s">
        <v>3450</v>
      </c>
      <c r="BN224" t="s">
        <v>74</v>
      </c>
      <c r="BO224" t="s">
        <v>74</v>
      </c>
      <c r="BP224" t="s">
        <v>74</v>
      </c>
      <c r="BQ224" t="s">
        <v>74</v>
      </c>
      <c r="BR224" t="s">
        <v>98</v>
      </c>
      <c r="BS224" t="s">
        <v>3451</v>
      </c>
      <c r="BT224" t="str">
        <f>HYPERLINK("https%3A%2F%2Fwww.webofscience.com%2Fwos%2Fwoscc%2Ffull-record%2FWOS:000225544700008","View Full Record in Web of Science")</f>
        <v>View Full Record in Web of Science</v>
      </c>
    </row>
    <row r="225" spans="1:72" x14ac:dyDescent="0.15">
      <c r="A225" t="s">
        <v>122</v>
      </c>
      <c r="B225" t="s">
        <v>3452</v>
      </c>
      <c r="C225" t="s">
        <v>74</v>
      </c>
      <c r="D225" t="s">
        <v>74</v>
      </c>
      <c r="E225" t="s">
        <v>74</v>
      </c>
      <c r="F225" t="s">
        <v>3452</v>
      </c>
      <c r="G225" t="s">
        <v>74</v>
      </c>
      <c r="H225" t="s">
        <v>74</v>
      </c>
      <c r="I225" t="s">
        <v>3453</v>
      </c>
      <c r="J225" t="s">
        <v>3454</v>
      </c>
      <c r="K225" t="s">
        <v>74</v>
      </c>
      <c r="L225" t="s">
        <v>74</v>
      </c>
      <c r="M225" t="s">
        <v>79</v>
      </c>
      <c r="N225" t="s">
        <v>126</v>
      </c>
      <c r="O225" t="s">
        <v>74</v>
      </c>
      <c r="P225" t="s">
        <v>74</v>
      </c>
      <c r="Q225" t="s">
        <v>74</v>
      </c>
      <c r="R225" t="s">
        <v>74</v>
      </c>
      <c r="S225" t="s">
        <v>74</v>
      </c>
      <c r="T225" t="s">
        <v>74</v>
      </c>
      <c r="U225" t="s">
        <v>3455</v>
      </c>
      <c r="V225" t="s">
        <v>3456</v>
      </c>
      <c r="W225" t="s">
        <v>3457</v>
      </c>
      <c r="X225" t="s">
        <v>3458</v>
      </c>
      <c r="Y225" t="s">
        <v>3459</v>
      </c>
      <c r="Z225" t="s">
        <v>3460</v>
      </c>
      <c r="AA225" t="s">
        <v>3461</v>
      </c>
      <c r="AB225" t="s">
        <v>3462</v>
      </c>
      <c r="AC225" t="s">
        <v>74</v>
      </c>
      <c r="AD225" t="s">
        <v>74</v>
      </c>
      <c r="AE225" t="s">
        <v>74</v>
      </c>
      <c r="AF225" t="s">
        <v>74</v>
      </c>
      <c r="AG225">
        <v>36</v>
      </c>
      <c r="AH225">
        <v>38</v>
      </c>
      <c r="AI225">
        <v>39</v>
      </c>
      <c r="AJ225">
        <v>0</v>
      </c>
      <c r="AK225">
        <v>9</v>
      </c>
      <c r="AL225" t="s">
        <v>3463</v>
      </c>
      <c r="AM225" t="s">
        <v>3464</v>
      </c>
      <c r="AN225" t="s">
        <v>3465</v>
      </c>
      <c r="AO225" t="s">
        <v>3466</v>
      </c>
      <c r="AP225" t="s">
        <v>74</v>
      </c>
      <c r="AQ225" t="s">
        <v>74</v>
      </c>
      <c r="AR225" t="s">
        <v>3467</v>
      </c>
      <c r="AS225" t="s">
        <v>3468</v>
      </c>
      <c r="AT225" t="s">
        <v>2584</v>
      </c>
      <c r="AU225">
        <v>2004</v>
      </c>
      <c r="AV225">
        <v>49</v>
      </c>
      <c r="AW225">
        <v>6</v>
      </c>
      <c r="AX225" t="s">
        <v>74</v>
      </c>
      <c r="AY225" t="s">
        <v>74</v>
      </c>
      <c r="AZ225" t="s">
        <v>74</v>
      </c>
      <c r="BA225" t="s">
        <v>74</v>
      </c>
      <c r="BB225">
        <v>1957</v>
      </c>
      <c r="BC225">
        <v>1963</v>
      </c>
      <c r="BD225" t="s">
        <v>74</v>
      </c>
      <c r="BE225" t="s">
        <v>3469</v>
      </c>
      <c r="BF225" t="str">
        <f>HYPERLINK("http://dx.doi.org/10.4319/lo.2004.49.6.1957","http://dx.doi.org/10.4319/lo.2004.49.6.1957")</f>
        <v>http://dx.doi.org/10.4319/lo.2004.49.6.1957</v>
      </c>
      <c r="BG225" t="s">
        <v>74</v>
      </c>
      <c r="BH225" t="s">
        <v>74</v>
      </c>
      <c r="BI225">
        <v>7</v>
      </c>
      <c r="BJ225" t="s">
        <v>3470</v>
      </c>
      <c r="BK225" t="s">
        <v>139</v>
      </c>
      <c r="BL225" t="s">
        <v>1709</v>
      </c>
      <c r="BM225" t="s">
        <v>3471</v>
      </c>
      <c r="BN225" t="s">
        <v>74</v>
      </c>
      <c r="BO225" t="s">
        <v>273</v>
      </c>
      <c r="BP225" t="s">
        <v>74</v>
      </c>
      <c r="BQ225" t="s">
        <v>74</v>
      </c>
      <c r="BR225" t="s">
        <v>98</v>
      </c>
      <c r="BS225" t="s">
        <v>3472</v>
      </c>
      <c r="BT225" t="str">
        <f>HYPERLINK("https%3A%2F%2Fwww.webofscience.com%2Fwos%2Fwoscc%2Ffull-record%2FWOS:000225137100006","View Full Record in Web of Science")</f>
        <v>View Full Record in Web of Science</v>
      </c>
    </row>
    <row r="226" spans="1:72" x14ac:dyDescent="0.15">
      <c r="A226" t="s">
        <v>122</v>
      </c>
      <c r="B226" t="s">
        <v>3473</v>
      </c>
      <c r="C226" t="s">
        <v>74</v>
      </c>
      <c r="D226" t="s">
        <v>74</v>
      </c>
      <c r="E226" t="s">
        <v>74</v>
      </c>
      <c r="F226" t="s">
        <v>3473</v>
      </c>
      <c r="G226" t="s">
        <v>74</v>
      </c>
      <c r="H226" t="s">
        <v>74</v>
      </c>
      <c r="I226" t="s">
        <v>3474</v>
      </c>
      <c r="J226" t="s">
        <v>3454</v>
      </c>
      <c r="K226" t="s">
        <v>74</v>
      </c>
      <c r="L226" t="s">
        <v>74</v>
      </c>
      <c r="M226" t="s">
        <v>79</v>
      </c>
      <c r="N226" t="s">
        <v>126</v>
      </c>
      <c r="O226" t="s">
        <v>74</v>
      </c>
      <c r="P226" t="s">
        <v>74</v>
      </c>
      <c r="Q226" t="s">
        <v>74</v>
      </c>
      <c r="R226" t="s">
        <v>74</v>
      </c>
      <c r="S226" t="s">
        <v>74</v>
      </c>
      <c r="T226" t="s">
        <v>74</v>
      </c>
      <c r="U226" t="s">
        <v>3475</v>
      </c>
      <c r="V226" t="s">
        <v>3476</v>
      </c>
      <c r="W226" t="s">
        <v>3477</v>
      </c>
      <c r="X226" t="s">
        <v>3478</v>
      </c>
      <c r="Y226" t="s">
        <v>3479</v>
      </c>
      <c r="Z226" t="s">
        <v>74</v>
      </c>
      <c r="AA226" t="s">
        <v>3480</v>
      </c>
      <c r="AB226" t="s">
        <v>3481</v>
      </c>
      <c r="AC226" t="s">
        <v>74</v>
      </c>
      <c r="AD226" t="s">
        <v>74</v>
      </c>
      <c r="AE226" t="s">
        <v>74</v>
      </c>
      <c r="AF226" t="s">
        <v>74</v>
      </c>
      <c r="AG226">
        <v>41</v>
      </c>
      <c r="AH226">
        <v>76</v>
      </c>
      <c r="AI226">
        <v>79</v>
      </c>
      <c r="AJ226">
        <v>2</v>
      </c>
      <c r="AK226">
        <v>28</v>
      </c>
      <c r="AL226" t="s">
        <v>1745</v>
      </c>
      <c r="AM226" t="s">
        <v>1419</v>
      </c>
      <c r="AN226" t="s">
        <v>1420</v>
      </c>
      <c r="AO226" t="s">
        <v>3466</v>
      </c>
      <c r="AP226" t="s">
        <v>3482</v>
      </c>
      <c r="AQ226" t="s">
        <v>74</v>
      </c>
      <c r="AR226" t="s">
        <v>3467</v>
      </c>
      <c r="AS226" t="s">
        <v>3468</v>
      </c>
      <c r="AT226" t="s">
        <v>2584</v>
      </c>
      <c r="AU226">
        <v>2004</v>
      </c>
      <c r="AV226">
        <v>49</v>
      </c>
      <c r="AW226">
        <v>6</v>
      </c>
      <c r="AX226" t="s">
        <v>74</v>
      </c>
      <c r="AY226" t="s">
        <v>74</v>
      </c>
      <c r="AZ226" t="s">
        <v>74</v>
      </c>
      <c r="BA226" t="s">
        <v>74</v>
      </c>
      <c r="BB226">
        <v>2095</v>
      </c>
      <c r="BC226">
        <v>2104</v>
      </c>
      <c r="BD226" t="s">
        <v>74</v>
      </c>
      <c r="BE226" t="s">
        <v>3483</v>
      </c>
      <c r="BF226" t="str">
        <f>HYPERLINK("http://dx.doi.org/10.4319/lo.2004.49.6.2095","http://dx.doi.org/10.4319/lo.2004.49.6.2095")</f>
        <v>http://dx.doi.org/10.4319/lo.2004.49.6.2095</v>
      </c>
      <c r="BG226" t="s">
        <v>74</v>
      </c>
      <c r="BH226" t="s">
        <v>74</v>
      </c>
      <c r="BI226">
        <v>10</v>
      </c>
      <c r="BJ226" t="s">
        <v>3470</v>
      </c>
      <c r="BK226" t="s">
        <v>139</v>
      </c>
      <c r="BL226" t="s">
        <v>1709</v>
      </c>
      <c r="BM226" t="s">
        <v>3471</v>
      </c>
      <c r="BN226" t="s">
        <v>74</v>
      </c>
      <c r="BO226" t="s">
        <v>1866</v>
      </c>
      <c r="BP226" t="s">
        <v>74</v>
      </c>
      <c r="BQ226" t="s">
        <v>74</v>
      </c>
      <c r="BR226" t="s">
        <v>98</v>
      </c>
      <c r="BS226" t="s">
        <v>3484</v>
      </c>
      <c r="BT226" t="str">
        <f>HYPERLINK("https%3A%2F%2Fwww.webofscience.com%2Fwos%2Fwoscc%2Ffull-record%2FWOS:000225137100018","View Full Record in Web of Science")</f>
        <v>View Full Record in Web of Science</v>
      </c>
    </row>
    <row r="227" spans="1:72" x14ac:dyDescent="0.15">
      <c r="A227" t="s">
        <v>122</v>
      </c>
      <c r="B227" t="s">
        <v>3485</v>
      </c>
      <c r="C227" t="s">
        <v>74</v>
      </c>
      <c r="D227" t="s">
        <v>74</v>
      </c>
      <c r="E227" t="s">
        <v>74</v>
      </c>
      <c r="F227" t="s">
        <v>3485</v>
      </c>
      <c r="G227" t="s">
        <v>74</v>
      </c>
      <c r="H227" t="s">
        <v>74</v>
      </c>
      <c r="I227" t="s">
        <v>3486</v>
      </c>
      <c r="J227" t="s">
        <v>3454</v>
      </c>
      <c r="K227" t="s">
        <v>74</v>
      </c>
      <c r="L227" t="s">
        <v>74</v>
      </c>
      <c r="M227" t="s">
        <v>79</v>
      </c>
      <c r="N227" t="s">
        <v>126</v>
      </c>
      <c r="O227" t="s">
        <v>74</v>
      </c>
      <c r="P227" t="s">
        <v>74</v>
      </c>
      <c r="Q227" t="s">
        <v>74</v>
      </c>
      <c r="R227" t="s">
        <v>74</v>
      </c>
      <c r="S227" t="s">
        <v>74</v>
      </c>
      <c r="T227" t="s">
        <v>74</v>
      </c>
      <c r="U227" t="s">
        <v>3487</v>
      </c>
      <c r="V227" t="s">
        <v>3488</v>
      </c>
      <c r="W227" t="s">
        <v>3489</v>
      </c>
      <c r="X227" t="s">
        <v>3490</v>
      </c>
      <c r="Y227" t="s">
        <v>3491</v>
      </c>
      <c r="Z227" t="s">
        <v>3492</v>
      </c>
      <c r="AA227" t="s">
        <v>74</v>
      </c>
      <c r="AB227" t="s">
        <v>74</v>
      </c>
      <c r="AC227" t="s">
        <v>74</v>
      </c>
      <c r="AD227" t="s">
        <v>74</v>
      </c>
      <c r="AE227" t="s">
        <v>74</v>
      </c>
      <c r="AF227" t="s">
        <v>74</v>
      </c>
      <c r="AG227">
        <v>42</v>
      </c>
      <c r="AH227">
        <v>41</v>
      </c>
      <c r="AI227">
        <v>44</v>
      </c>
      <c r="AJ227">
        <v>0</v>
      </c>
      <c r="AK227">
        <v>17</v>
      </c>
      <c r="AL227" t="s">
        <v>3463</v>
      </c>
      <c r="AM227" t="s">
        <v>3464</v>
      </c>
      <c r="AN227" t="s">
        <v>3465</v>
      </c>
      <c r="AO227" t="s">
        <v>3466</v>
      </c>
      <c r="AP227" t="s">
        <v>74</v>
      </c>
      <c r="AQ227" t="s">
        <v>74</v>
      </c>
      <c r="AR227" t="s">
        <v>3467</v>
      </c>
      <c r="AS227" t="s">
        <v>3468</v>
      </c>
      <c r="AT227" t="s">
        <v>2584</v>
      </c>
      <c r="AU227">
        <v>2004</v>
      </c>
      <c r="AV227">
        <v>49</v>
      </c>
      <c r="AW227">
        <v>6</v>
      </c>
      <c r="AX227" t="s">
        <v>74</v>
      </c>
      <c r="AY227" t="s">
        <v>74</v>
      </c>
      <c r="AZ227" t="s">
        <v>74</v>
      </c>
      <c r="BA227" t="s">
        <v>74</v>
      </c>
      <c r="BB227">
        <v>2129</v>
      </c>
      <c r="BC227">
        <v>2140</v>
      </c>
      <c r="BD227" t="s">
        <v>74</v>
      </c>
      <c r="BE227" t="s">
        <v>3493</v>
      </c>
      <c r="BF227" t="str">
        <f>HYPERLINK("http://dx.doi.org/10.4319/lo.2004.49.6.2129","http://dx.doi.org/10.4319/lo.2004.49.6.2129")</f>
        <v>http://dx.doi.org/10.4319/lo.2004.49.6.2129</v>
      </c>
      <c r="BG227" t="s">
        <v>74</v>
      </c>
      <c r="BH227" t="s">
        <v>74</v>
      </c>
      <c r="BI227">
        <v>12</v>
      </c>
      <c r="BJ227" t="s">
        <v>3470</v>
      </c>
      <c r="BK227" t="s">
        <v>139</v>
      </c>
      <c r="BL227" t="s">
        <v>1709</v>
      </c>
      <c r="BM227" t="s">
        <v>3471</v>
      </c>
      <c r="BN227" t="s">
        <v>74</v>
      </c>
      <c r="BO227" t="s">
        <v>273</v>
      </c>
      <c r="BP227" t="s">
        <v>74</v>
      </c>
      <c r="BQ227" t="s">
        <v>74</v>
      </c>
      <c r="BR227" t="s">
        <v>98</v>
      </c>
      <c r="BS227" t="s">
        <v>3494</v>
      </c>
      <c r="BT227" t="str">
        <f>HYPERLINK("https%3A%2F%2Fwww.webofscience.com%2Fwos%2Fwoscc%2Ffull-record%2FWOS:000225137100021","View Full Record in Web of Science")</f>
        <v>View Full Record in Web of Science</v>
      </c>
    </row>
    <row r="228" spans="1:72" x14ac:dyDescent="0.15">
      <c r="A228" t="s">
        <v>122</v>
      </c>
      <c r="B228" t="s">
        <v>3495</v>
      </c>
      <c r="C228" t="s">
        <v>74</v>
      </c>
      <c r="D228" t="s">
        <v>74</v>
      </c>
      <c r="E228" t="s">
        <v>74</v>
      </c>
      <c r="F228" t="s">
        <v>3495</v>
      </c>
      <c r="G228" t="s">
        <v>74</v>
      </c>
      <c r="H228" t="s">
        <v>74</v>
      </c>
      <c r="I228" t="s">
        <v>3496</v>
      </c>
      <c r="J228" t="s">
        <v>3454</v>
      </c>
      <c r="K228" t="s">
        <v>74</v>
      </c>
      <c r="L228" t="s">
        <v>74</v>
      </c>
      <c r="M228" t="s">
        <v>79</v>
      </c>
      <c r="N228" t="s">
        <v>126</v>
      </c>
      <c r="O228" t="s">
        <v>74</v>
      </c>
      <c r="P228" t="s">
        <v>74</v>
      </c>
      <c r="Q228" t="s">
        <v>74</v>
      </c>
      <c r="R228" t="s">
        <v>74</v>
      </c>
      <c r="S228" t="s">
        <v>74</v>
      </c>
      <c r="T228" t="s">
        <v>74</v>
      </c>
      <c r="U228" t="s">
        <v>3497</v>
      </c>
      <c r="V228" t="s">
        <v>3498</v>
      </c>
      <c r="W228" t="s">
        <v>3499</v>
      </c>
      <c r="X228" t="s">
        <v>748</v>
      </c>
      <c r="Y228" t="s">
        <v>3500</v>
      </c>
      <c r="Z228" t="s">
        <v>3501</v>
      </c>
      <c r="AA228" t="s">
        <v>2520</v>
      </c>
      <c r="AB228" t="s">
        <v>74</v>
      </c>
      <c r="AC228" t="s">
        <v>74</v>
      </c>
      <c r="AD228" t="s">
        <v>74</v>
      </c>
      <c r="AE228" t="s">
        <v>74</v>
      </c>
      <c r="AF228" t="s">
        <v>74</v>
      </c>
      <c r="AG228">
        <v>34</v>
      </c>
      <c r="AH228">
        <v>12</v>
      </c>
      <c r="AI228">
        <v>14</v>
      </c>
      <c r="AJ228">
        <v>2</v>
      </c>
      <c r="AK228">
        <v>22</v>
      </c>
      <c r="AL228" t="s">
        <v>1418</v>
      </c>
      <c r="AM228" t="s">
        <v>1419</v>
      </c>
      <c r="AN228" t="s">
        <v>1420</v>
      </c>
      <c r="AO228" t="s">
        <v>3466</v>
      </c>
      <c r="AP228" t="s">
        <v>3482</v>
      </c>
      <c r="AQ228" t="s">
        <v>74</v>
      </c>
      <c r="AR228" t="s">
        <v>3467</v>
      </c>
      <c r="AS228" t="s">
        <v>3468</v>
      </c>
      <c r="AT228" t="s">
        <v>2584</v>
      </c>
      <c r="AU228">
        <v>2004</v>
      </c>
      <c r="AV228">
        <v>49</v>
      </c>
      <c r="AW228">
        <v>6</v>
      </c>
      <c r="AX228" t="s">
        <v>74</v>
      </c>
      <c r="AY228" t="s">
        <v>74</v>
      </c>
      <c r="AZ228" t="s">
        <v>74</v>
      </c>
      <c r="BA228" t="s">
        <v>74</v>
      </c>
      <c r="BB228">
        <v>2152</v>
      </c>
      <c r="BC228">
        <v>2161</v>
      </c>
      <c r="BD228" t="s">
        <v>74</v>
      </c>
      <c r="BE228" t="s">
        <v>3502</v>
      </c>
      <c r="BF228" t="str">
        <f>HYPERLINK("http://dx.doi.org/10.4319/lo.2004.49.6.2152","http://dx.doi.org/10.4319/lo.2004.49.6.2152")</f>
        <v>http://dx.doi.org/10.4319/lo.2004.49.6.2152</v>
      </c>
      <c r="BG228" t="s">
        <v>74</v>
      </c>
      <c r="BH228" t="s">
        <v>74</v>
      </c>
      <c r="BI228">
        <v>10</v>
      </c>
      <c r="BJ228" t="s">
        <v>3470</v>
      </c>
      <c r="BK228" t="s">
        <v>139</v>
      </c>
      <c r="BL228" t="s">
        <v>1709</v>
      </c>
      <c r="BM228" t="s">
        <v>3471</v>
      </c>
      <c r="BN228" t="s">
        <v>74</v>
      </c>
      <c r="BO228" t="s">
        <v>273</v>
      </c>
      <c r="BP228" t="s">
        <v>74</v>
      </c>
      <c r="BQ228" t="s">
        <v>74</v>
      </c>
      <c r="BR228" t="s">
        <v>98</v>
      </c>
      <c r="BS228" t="s">
        <v>3503</v>
      </c>
      <c r="BT228" t="str">
        <f>HYPERLINK("https%3A%2F%2Fwww.webofscience.com%2Fwos%2Fwoscc%2Ffull-record%2FWOS:000225137100023","View Full Record in Web of Science")</f>
        <v>View Full Record in Web of Science</v>
      </c>
    </row>
    <row r="229" spans="1:72" x14ac:dyDescent="0.15">
      <c r="A229" t="s">
        <v>122</v>
      </c>
      <c r="B229" t="s">
        <v>3504</v>
      </c>
      <c r="C229" t="s">
        <v>74</v>
      </c>
      <c r="D229" t="s">
        <v>74</v>
      </c>
      <c r="E229" t="s">
        <v>74</v>
      </c>
      <c r="F229" t="s">
        <v>3504</v>
      </c>
      <c r="G229" t="s">
        <v>74</v>
      </c>
      <c r="H229" t="s">
        <v>74</v>
      </c>
      <c r="I229" t="s">
        <v>3505</v>
      </c>
      <c r="J229" t="s">
        <v>1781</v>
      </c>
      <c r="K229" t="s">
        <v>74</v>
      </c>
      <c r="L229" t="s">
        <v>74</v>
      </c>
      <c r="M229" t="s">
        <v>79</v>
      </c>
      <c r="N229" t="s">
        <v>840</v>
      </c>
      <c r="O229" t="s">
        <v>74</v>
      </c>
      <c r="P229" t="s">
        <v>74</v>
      </c>
      <c r="Q229" t="s">
        <v>74</v>
      </c>
      <c r="R229" t="s">
        <v>74</v>
      </c>
      <c r="S229" t="s">
        <v>74</v>
      </c>
      <c r="T229" t="s">
        <v>74</v>
      </c>
      <c r="U229" t="s">
        <v>74</v>
      </c>
      <c r="V229" t="s">
        <v>74</v>
      </c>
      <c r="W229" t="s">
        <v>74</v>
      </c>
      <c r="X229" t="s">
        <v>74</v>
      </c>
      <c r="Y229" t="s">
        <v>74</v>
      </c>
      <c r="Z229" t="s">
        <v>74</v>
      </c>
      <c r="AA229" t="s">
        <v>74</v>
      </c>
      <c r="AB229" t="s">
        <v>74</v>
      </c>
      <c r="AC229" t="s">
        <v>74</v>
      </c>
      <c r="AD229" t="s">
        <v>74</v>
      </c>
      <c r="AE229" t="s">
        <v>74</v>
      </c>
      <c r="AF229" t="s">
        <v>74</v>
      </c>
      <c r="AG229">
        <v>0</v>
      </c>
      <c r="AH229">
        <v>0</v>
      </c>
      <c r="AI229">
        <v>0</v>
      </c>
      <c r="AJ229">
        <v>0</v>
      </c>
      <c r="AK229">
        <v>0</v>
      </c>
      <c r="AL229" t="s">
        <v>1273</v>
      </c>
      <c r="AM229" t="s">
        <v>197</v>
      </c>
      <c r="AN229" t="s">
        <v>1274</v>
      </c>
      <c r="AO229" t="s">
        <v>1791</v>
      </c>
      <c r="AP229" t="s">
        <v>1792</v>
      </c>
      <c r="AQ229" t="s">
        <v>74</v>
      </c>
      <c r="AR229" t="s">
        <v>1793</v>
      </c>
      <c r="AS229" t="s">
        <v>1794</v>
      </c>
      <c r="AT229" t="s">
        <v>2584</v>
      </c>
      <c r="AU229">
        <v>2004</v>
      </c>
      <c r="AV229">
        <v>49</v>
      </c>
      <c r="AW229" t="s">
        <v>3506</v>
      </c>
      <c r="AX229" t="s">
        <v>74</v>
      </c>
      <c r="AY229" t="s">
        <v>74</v>
      </c>
      <c r="AZ229" t="s">
        <v>74</v>
      </c>
      <c r="BA229" t="s">
        <v>74</v>
      </c>
      <c r="BB229">
        <v>676</v>
      </c>
      <c r="BC229">
        <v>676</v>
      </c>
      <c r="BD229" t="s">
        <v>74</v>
      </c>
      <c r="BE229" t="s">
        <v>74</v>
      </c>
      <c r="BF229" t="s">
        <v>74</v>
      </c>
      <c r="BG229" t="s">
        <v>74</v>
      </c>
      <c r="BH229" t="s">
        <v>74</v>
      </c>
      <c r="BI229">
        <v>1</v>
      </c>
      <c r="BJ229" t="s">
        <v>1796</v>
      </c>
      <c r="BK229" t="s">
        <v>139</v>
      </c>
      <c r="BL229" t="s">
        <v>1797</v>
      </c>
      <c r="BM229" t="s">
        <v>3507</v>
      </c>
      <c r="BN229" t="s">
        <v>74</v>
      </c>
      <c r="BO229" t="s">
        <v>74</v>
      </c>
      <c r="BP229" t="s">
        <v>74</v>
      </c>
      <c r="BQ229" t="s">
        <v>74</v>
      </c>
      <c r="BR229" t="s">
        <v>98</v>
      </c>
      <c r="BS229" t="s">
        <v>3508</v>
      </c>
      <c r="BT229" t="str">
        <f>HYPERLINK("https%3A%2F%2Fwww.webofscience.com%2Fwos%2Fwoscc%2Ffull-record%2FWOS:000225419800006","View Full Record in Web of Science")</f>
        <v>View Full Record in Web of Science</v>
      </c>
    </row>
    <row r="230" spans="1:72" x14ac:dyDescent="0.15">
      <c r="A230" t="s">
        <v>122</v>
      </c>
      <c r="B230" t="s">
        <v>3509</v>
      </c>
      <c r="C230" t="s">
        <v>74</v>
      </c>
      <c r="D230" t="s">
        <v>74</v>
      </c>
      <c r="E230" t="s">
        <v>74</v>
      </c>
      <c r="F230" t="s">
        <v>3509</v>
      </c>
      <c r="G230" t="s">
        <v>74</v>
      </c>
      <c r="H230" t="s">
        <v>74</v>
      </c>
      <c r="I230" t="s">
        <v>3510</v>
      </c>
      <c r="J230" t="s">
        <v>1781</v>
      </c>
      <c r="K230" t="s">
        <v>74</v>
      </c>
      <c r="L230" t="s">
        <v>74</v>
      </c>
      <c r="M230" t="s">
        <v>79</v>
      </c>
      <c r="N230" t="s">
        <v>126</v>
      </c>
      <c r="O230" t="s">
        <v>74</v>
      </c>
      <c r="P230" t="s">
        <v>74</v>
      </c>
      <c r="Q230" t="s">
        <v>74</v>
      </c>
      <c r="R230" t="s">
        <v>74</v>
      </c>
      <c r="S230" t="s">
        <v>74</v>
      </c>
      <c r="T230" t="s">
        <v>3511</v>
      </c>
      <c r="U230" t="s">
        <v>3512</v>
      </c>
      <c r="V230" t="s">
        <v>3513</v>
      </c>
      <c r="W230" t="s">
        <v>2323</v>
      </c>
      <c r="X230" t="s">
        <v>748</v>
      </c>
      <c r="Y230" t="s">
        <v>3514</v>
      </c>
      <c r="Z230" t="s">
        <v>3515</v>
      </c>
      <c r="AA230" t="s">
        <v>3516</v>
      </c>
      <c r="AB230" t="s">
        <v>74</v>
      </c>
      <c r="AC230" t="s">
        <v>74</v>
      </c>
      <c r="AD230" t="s">
        <v>74</v>
      </c>
      <c r="AE230" t="s">
        <v>74</v>
      </c>
      <c r="AF230" t="s">
        <v>74</v>
      </c>
      <c r="AG230">
        <v>18</v>
      </c>
      <c r="AH230">
        <v>21</v>
      </c>
      <c r="AI230">
        <v>21</v>
      </c>
      <c r="AJ230">
        <v>3</v>
      </c>
      <c r="AK230">
        <v>30</v>
      </c>
      <c r="AL230" t="s">
        <v>1273</v>
      </c>
      <c r="AM230" t="s">
        <v>197</v>
      </c>
      <c r="AN230" t="s">
        <v>1274</v>
      </c>
      <c r="AO230" t="s">
        <v>1791</v>
      </c>
      <c r="AP230" t="s">
        <v>1792</v>
      </c>
      <c r="AQ230" t="s">
        <v>74</v>
      </c>
      <c r="AR230" t="s">
        <v>1793</v>
      </c>
      <c r="AS230" t="s">
        <v>1794</v>
      </c>
      <c r="AT230" t="s">
        <v>2584</v>
      </c>
      <c r="AU230">
        <v>2004</v>
      </c>
      <c r="AV230">
        <v>49</v>
      </c>
      <c r="AW230" t="s">
        <v>3506</v>
      </c>
      <c r="AX230" t="s">
        <v>74</v>
      </c>
      <c r="AY230" t="s">
        <v>74</v>
      </c>
      <c r="AZ230" t="s">
        <v>74</v>
      </c>
      <c r="BA230" t="s">
        <v>74</v>
      </c>
      <c r="BB230">
        <v>850</v>
      </c>
      <c r="BC230">
        <v>853</v>
      </c>
      <c r="BD230" t="s">
        <v>74</v>
      </c>
      <c r="BE230" t="s">
        <v>3517</v>
      </c>
      <c r="BF230" t="str">
        <f>HYPERLINK("http://dx.doi.org/10.1016/j.marpolbul.2004.05.012","http://dx.doi.org/10.1016/j.marpolbul.2004.05.012")</f>
        <v>http://dx.doi.org/10.1016/j.marpolbul.2004.05.012</v>
      </c>
      <c r="BG230" t="s">
        <v>74</v>
      </c>
      <c r="BH230" t="s">
        <v>74</v>
      </c>
      <c r="BI230">
        <v>4</v>
      </c>
      <c r="BJ230" t="s">
        <v>1796</v>
      </c>
      <c r="BK230" t="s">
        <v>139</v>
      </c>
      <c r="BL230" t="s">
        <v>1797</v>
      </c>
      <c r="BM230" t="s">
        <v>3507</v>
      </c>
      <c r="BN230">
        <v>15530529</v>
      </c>
      <c r="BO230" t="s">
        <v>74</v>
      </c>
      <c r="BP230" t="s">
        <v>74</v>
      </c>
      <c r="BQ230" t="s">
        <v>74</v>
      </c>
      <c r="BR230" t="s">
        <v>98</v>
      </c>
      <c r="BS230" t="s">
        <v>3518</v>
      </c>
      <c r="BT230" t="str">
        <f>HYPERLINK("https%3A%2F%2Fwww.webofscience.com%2Fwos%2Fwoscc%2Ffull-record%2FWOS:000225419800032","View Full Record in Web of Science")</f>
        <v>View Full Record in Web of Science</v>
      </c>
    </row>
    <row r="231" spans="1:72" x14ac:dyDescent="0.15">
      <c r="A231" t="s">
        <v>122</v>
      </c>
      <c r="B231" t="s">
        <v>3519</v>
      </c>
      <c r="C231" t="s">
        <v>74</v>
      </c>
      <c r="D231" t="s">
        <v>74</v>
      </c>
      <c r="E231" t="s">
        <v>74</v>
      </c>
      <c r="F231" t="s">
        <v>3519</v>
      </c>
      <c r="G231" t="s">
        <v>74</v>
      </c>
      <c r="H231" t="s">
        <v>74</v>
      </c>
      <c r="I231" t="s">
        <v>3520</v>
      </c>
      <c r="J231" t="s">
        <v>3521</v>
      </c>
      <c r="K231" t="s">
        <v>74</v>
      </c>
      <c r="L231" t="s">
        <v>74</v>
      </c>
      <c r="M231" t="s">
        <v>79</v>
      </c>
      <c r="N231" t="s">
        <v>918</v>
      </c>
      <c r="O231" t="s">
        <v>74</v>
      </c>
      <c r="P231" t="s">
        <v>74</v>
      </c>
      <c r="Q231" t="s">
        <v>74</v>
      </c>
      <c r="R231" t="s">
        <v>74</v>
      </c>
      <c r="S231" t="s">
        <v>74</v>
      </c>
      <c r="T231" t="s">
        <v>74</v>
      </c>
      <c r="U231" t="s">
        <v>74</v>
      </c>
      <c r="V231" t="s">
        <v>74</v>
      </c>
      <c r="W231" t="s">
        <v>74</v>
      </c>
      <c r="X231" t="s">
        <v>74</v>
      </c>
      <c r="Y231" t="s">
        <v>74</v>
      </c>
      <c r="Z231" t="s">
        <v>74</v>
      </c>
      <c r="AA231" t="s">
        <v>74</v>
      </c>
      <c r="AB231" t="s">
        <v>74</v>
      </c>
      <c r="AC231" t="s">
        <v>74</v>
      </c>
      <c r="AD231" t="s">
        <v>74</v>
      </c>
      <c r="AE231" t="s">
        <v>74</v>
      </c>
      <c r="AF231" t="s">
        <v>74</v>
      </c>
      <c r="AG231">
        <v>0</v>
      </c>
      <c r="AH231">
        <v>0</v>
      </c>
      <c r="AI231">
        <v>0</v>
      </c>
      <c r="AJ231">
        <v>0</v>
      </c>
      <c r="AK231">
        <v>1</v>
      </c>
      <c r="AL231" t="s">
        <v>3522</v>
      </c>
      <c r="AM231" t="s">
        <v>375</v>
      </c>
      <c r="AN231" t="s">
        <v>3523</v>
      </c>
      <c r="AO231" t="s">
        <v>3524</v>
      </c>
      <c r="AP231" t="s">
        <v>74</v>
      </c>
      <c r="AQ231" t="s">
        <v>74</v>
      </c>
      <c r="AR231" t="s">
        <v>3521</v>
      </c>
      <c r="AS231" t="s">
        <v>3525</v>
      </c>
      <c r="AT231" t="s">
        <v>2584</v>
      </c>
      <c r="AU231">
        <v>2004</v>
      </c>
      <c r="AV231">
        <v>90</v>
      </c>
      <c r="AW231">
        <v>4</v>
      </c>
      <c r="AX231" t="s">
        <v>74</v>
      </c>
      <c r="AY231" t="s">
        <v>74</v>
      </c>
      <c r="AZ231" t="s">
        <v>74</v>
      </c>
      <c r="BA231" t="s">
        <v>74</v>
      </c>
      <c r="BB231">
        <v>466</v>
      </c>
      <c r="BC231">
        <v>467</v>
      </c>
      <c r="BD231" t="s">
        <v>74</v>
      </c>
      <c r="BE231" t="s">
        <v>74</v>
      </c>
      <c r="BF231" t="s">
        <v>74</v>
      </c>
      <c r="BG231" t="s">
        <v>74</v>
      </c>
      <c r="BH231" t="s">
        <v>74</v>
      </c>
      <c r="BI231">
        <v>2</v>
      </c>
      <c r="BJ231" t="s">
        <v>3526</v>
      </c>
      <c r="BK231" t="s">
        <v>3527</v>
      </c>
      <c r="BL231" t="s">
        <v>3526</v>
      </c>
      <c r="BM231" t="s">
        <v>3528</v>
      </c>
      <c r="BN231" t="s">
        <v>74</v>
      </c>
      <c r="BO231" t="s">
        <v>74</v>
      </c>
      <c r="BP231" t="s">
        <v>74</v>
      </c>
      <c r="BQ231" t="s">
        <v>74</v>
      </c>
      <c r="BR231" t="s">
        <v>98</v>
      </c>
      <c r="BS231" t="s">
        <v>3529</v>
      </c>
      <c r="BT231" t="str">
        <f>HYPERLINK("https%3A%2F%2Fwww.webofscience.com%2Fwos%2Fwoscc%2Ffull-record%2FWOS:000225126900011","View Full Record in Web of Science")</f>
        <v>View Full Record in Web of Science</v>
      </c>
    </row>
    <row r="232" spans="1:72" x14ac:dyDescent="0.15">
      <c r="A232" t="s">
        <v>122</v>
      </c>
      <c r="B232" t="s">
        <v>3530</v>
      </c>
      <c r="C232" t="s">
        <v>74</v>
      </c>
      <c r="D232" t="s">
        <v>74</v>
      </c>
      <c r="E232" t="s">
        <v>74</v>
      </c>
      <c r="F232" t="s">
        <v>3530</v>
      </c>
      <c r="G232" t="s">
        <v>74</v>
      </c>
      <c r="H232" t="s">
        <v>74</v>
      </c>
      <c r="I232" t="s">
        <v>3531</v>
      </c>
      <c r="J232" t="s">
        <v>3532</v>
      </c>
      <c r="K232" t="s">
        <v>74</v>
      </c>
      <c r="L232" t="s">
        <v>74</v>
      </c>
      <c r="M232" t="s">
        <v>79</v>
      </c>
      <c r="N232" t="s">
        <v>126</v>
      </c>
      <c r="O232" t="s">
        <v>74</v>
      </c>
      <c r="P232" t="s">
        <v>74</v>
      </c>
      <c r="Q232" t="s">
        <v>74</v>
      </c>
      <c r="R232" t="s">
        <v>74</v>
      </c>
      <c r="S232" t="s">
        <v>74</v>
      </c>
      <c r="T232" t="s">
        <v>74</v>
      </c>
      <c r="U232" t="s">
        <v>3533</v>
      </c>
      <c r="V232" t="s">
        <v>3534</v>
      </c>
      <c r="W232" t="s">
        <v>3535</v>
      </c>
      <c r="X232" t="s">
        <v>3536</v>
      </c>
      <c r="Y232" t="s">
        <v>3537</v>
      </c>
      <c r="Z232" t="s">
        <v>3538</v>
      </c>
      <c r="AA232" t="s">
        <v>74</v>
      </c>
      <c r="AB232" t="s">
        <v>3539</v>
      </c>
      <c r="AC232" t="s">
        <v>74</v>
      </c>
      <c r="AD232" t="s">
        <v>74</v>
      </c>
      <c r="AE232" t="s">
        <v>74</v>
      </c>
      <c r="AF232" t="s">
        <v>74</v>
      </c>
      <c r="AG232">
        <v>71</v>
      </c>
      <c r="AH232">
        <v>56</v>
      </c>
      <c r="AI232">
        <v>60</v>
      </c>
      <c r="AJ232">
        <v>0</v>
      </c>
      <c r="AK232">
        <v>7</v>
      </c>
      <c r="AL232" t="s">
        <v>3540</v>
      </c>
      <c r="AM232" t="s">
        <v>3541</v>
      </c>
      <c r="AN232" t="s">
        <v>3542</v>
      </c>
      <c r="AO232" t="s">
        <v>3543</v>
      </c>
      <c r="AP232" t="s">
        <v>74</v>
      </c>
      <c r="AQ232" t="s">
        <v>74</v>
      </c>
      <c r="AR232" t="s">
        <v>3544</v>
      </c>
      <c r="AS232" t="s">
        <v>3545</v>
      </c>
      <c r="AT232" t="s">
        <v>2584</v>
      </c>
      <c r="AU232">
        <v>2004</v>
      </c>
      <c r="AV232">
        <v>39</v>
      </c>
      <c r="AW232">
        <v>11</v>
      </c>
      <c r="AX232" t="s">
        <v>74</v>
      </c>
      <c r="AY232" t="s">
        <v>74</v>
      </c>
      <c r="AZ232" t="s">
        <v>74</v>
      </c>
      <c r="BA232" t="s">
        <v>74</v>
      </c>
      <c r="BB232">
        <v>1823</v>
      </c>
      <c r="BC232">
        <v>1838</v>
      </c>
      <c r="BD232" t="s">
        <v>74</v>
      </c>
      <c r="BE232" t="s">
        <v>3546</v>
      </c>
      <c r="BF232" t="str">
        <f>HYPERLINK("http://dx.doi.org/10.1111/j.1945-5100.2004.tb00078.x","http://dx.doi.org/10.1111/j.1945-5100.2004.tb00078.x")</f>
        <v>http://dx.doi.org/10.1111/j.1945-5100.2004.tb00078.x</v>
      </c>
      <c r="BG232" t="s">
        <v>74</v>
      </c>
      <c r="BH232" t="s">
        <v>74</v>
      </c>
      <c r="BI232">
        <v>16</v>
      </c>
      <c r="BJ232" t="s">
        <v>271</v>
      </c>
      <c r="BK232" t="s">
        <v>139</v>
      </c>
      <c r="BL232" t="s">
        <v>271</v>
      </c>
      <c r="BM232" t="s">
        <v>3547</v>
      </c>
      <c r="BN232" t="s">
        <v>74</v>
      </c>
      <c r="BO232" t="s">
        <v>1866</v>
      </c>
      <c r="BP232" t="s">
        <v>74</v>
      </c>
      <c r="BQ232" t="s">
        <v>74</v>
      </c>
      <c r="BR232" t="s">
        <v>98</v>
      </c>
      <c r="BS232" t="s">
        <v>3548</v>
      </c>
      <c r="BT232" t="str">
        <f>HYPERLINK("https%3A%2F%2Fwww.webofscience.com%2Fwos%2Fwoscc%2Ffull-record%2FWOS:000226211300005","View Full Record in Web of Science")</f>
        <v>View Full Record in Web of Science</v>
      </c>
    </row>
    <row r="233" spans="1:72" x14ac:dyDescent="0.15">
      <c r="A233" t="s">
        <v>122</v>
      </c>
      <c r="B233" t="s">
        <v>3549</v>
      </c>
      <c r="C233" t="s">
        <v>74</v>
      </c>
      <c r="D233" t="s">
        <v>74</v>
      </c>
      <c r="E233" t="s">
        <v>74</v>
      </c>
      <c r="F233" t="s">
        <v>3549</v>
      </c>
      <c r="G233" t="s">
        <v>74</v>
      </c>
      <c r="H233" t="s">
        <v>74</v>
      </c>
      <c r="I233" t="s">
        <v>3550</v>
      </c>
      <c r="J233" t="s">
        <v>3532</v>
      </c>
      <c r="K233" t="s">
        <v>74</v>
      </c>
      <c r="L233" t="s">
        <v>74</v>
      </c>
      <c r="M233" t="s">
        <v>79</v>
      </c>
      <c r="N233" t="s">
        <v>126</v>
      </c>
      <c r="O233" t="s">
        <v>74</v>
      </c>
      <c r="P233" t="s">
        <v>74</v>
      </c>
      <c r="Q233" t="s">
        <v>74</v>
      </c>
      <c r="R233" t="s">
        <v>74</v>
      </c>
      <c r="S233" t="s">
        <v>74</v>
      </c>
      <c r="T233" t="s">
        <v>74</v>
      </c>
      <c r="U233" t="s">
        <v>3551</v>
      </c>
      <c r="V233" t="s">
        <v>3552</v>
      </c>
      <c r="W233" t="s">
        <v>3553</v>
      </c>
      <c r="X233" t="s">
        <v>3554</v>
      </c>
      <c r="Y233" t="s">
        <v>3555</v>
      </c>
      <c r="Z233" t="s">
        <v>3556</v>
      </c>
      <c r="AA233" t="s">
        <v>3557</v>
      </c>
      <c r="AB233" t="s">
        <v>74</v>
      </c>
      <c r="AC233" t="s">
        <v>74</v>
      </c>
      <c r="AD233" t="s">
        <v>74</v>
      </c>
      <c r="AE233" t="s">
        <v>74</v>
      </c>
      <c r="AF233" t="s">
        <v>74</v>
      </c>
      <c r="AG233">
        <v>60</v>
      </c>
      <c r="AH233">
        <v>55</v>
      </c>
      <c r="AI233">
        <v>58</v>
      </c>
      <c r="AJ233">
        <v>0</v>
      </c>
      <c r="AK233">
        <v>23</v>
      </c>
      <c r="AL233" t="s">
        <v>1418</v>
      </c>
      <c r="AM233" t="s">
        <v>1419</v>
      </c>
      <c r="AN233" t="s">
        <v>1420</v>
      </c>
      <c r="AO233" t="s">
        <v>3543</v>
      </c>
      <c r="AP233" t="s">
        <v>3558</v>
      </c>
      <c r="AQ233" t="s">
        <v>74</v>
      </c>
      <c r="AR233" t="s">
        <v>3544</v>
      </c>
      <c r="AS233" t="s">
        <v>3545</v>
      </c>
      <c r="AT233" t="s">
        <v>2584</v>
      </c>
      <c r="AU233">
        <v>2004</v>
      </c>
      <c r="AV233">
        <v>39</v>
      </c>
      <c r="AW233">
        <v>11</v>
      </c>
      <c r="AX233" t="s">
        <v>74</v>
      </c>
      <c r="AY233" t="s">
        <v>74</v>
      </c>
      <c r="AZ233" t="s">
        <v>74</v>
      </c>
      <c r="BA233" t="s">
        <v>74</v>
      </c>
      <c r="BB233">
        <v>1849</v>
      </c>
      <c r="BC233">
        <v>1858</v>
      </c>
      <c r="BD233" t="s">
        <v>74</v>
      </c>
      <c r="BE233" t="s">
        <v>3559</v>
      </c>
      <c r="BF233" t="str">
        <f>HYPERLINK("http://dx.doi.org/10.1111/j.1945-5100.2004.tb00080.x","http://dx.doi.org/10.1111/j.1945-5100.2004.tb00080.x")</f>
        <v>http://dx.doi.org/10.1111/j.1945-5100.2004.tb00080.x</v>
      </c>
      <c r="BG233" t="s">
        <v>74</v>
      </c>
      <c r="BH233" t="s">
        <v>74</v>
      </c>
      <c r="BI233">
        <v>10</v>
      </c>
      <c r="BJ233" t="s">
        <v>271</v>
      </c>
      <c r="BK233" t="s">
        <v>139</v>
      </c>
      <c r="BL233" t="s">
        <v>271</v>
      </c>
      <c r="BM233" t="s">
        <v>3547</v>
      </c>
      <c r="BN233" t="s">
        <v>74</v>
      </c>
      <c r="BO233" t="s">
        <v>273</v>
      </c>
      <c r="BP233" t="s">
        <v>74</v>
      </c>
      <c r="BQ233" t="s">
        <v>74</v>
      </c>
      <c r="BR233" t="s">
        <v>98</v>
      </c>
      <c r="BS233" t="s">
        <v>3560</v>
      </c>
      <c r="BT233" t="str">
        <f>HYPERLINK("https%3A%2F%2Fwww.webofscience.com%2Fwos%2Fwoscc%2Ffull-record%2FWOS:000226211300007","View Full Record in Web of Science")</f>
        <v>View Full Record in Web of Science</v>
      </c>
    </row>
    <row r="234" spans="1:72" x14ac:dyDescent="0.15">
      <c r="A234" t="s">
        <v>122</v>
      </c>
      <c r="B234" t="s">
        <v>3561</v>
      </c>
      <c r="C234" t="s">
        <v>74</v>
      </c>
      <c r="D234" t="s">
        <v>74</v>
      </c>
      <c r="E234" t="s">
        <v>74</v>
      </c>
      <c r="F234" t="s">
        <v>3561</v>
      </c>
      <c r="G234" t="s">
        <v>74</v>
      </c>
      <c r="H234" t="s">
        <v>74</v>
      </c>
      <c r="I234" t="s">
        <v>3562</v>
      </c>
      <c r="J234" t="s">
        <v>3563</v>
      </c>
      <c r="K234" t="s">
        <v>74</v>
      </c>
      <c r="L234" t="s">
        <v>74</v>
      </c>
      <c r="M234" t="s">
        <v>79</v>
      </c>
      <c r="N234" t="s">
        <v>126</v>
      </c>
      <c r="O234" t="s">
        <v>74</v>
      </c>
      <c r="P234" t="s">
        <v>74</v>
      </c>
      <c r="Q234" t="s">
        <v>74</v>
      </c>
      <c r="R234" t="s">
        <v>74</v>
      </c>
      <c r="S234" t="s">
        <v>74</v>
      </c>
      <c r="T234" t="s">
        <v>3564</v>
      </c>
      <c r="U234" t="s">
        <v>3565</v>
      </c>
      <c r="V234" t="s">
        <v>3566</v>
      </c>
      <c r="W234" t="s">
        <v>3567</v>
      </c>
      <c r="X234" t="s">
        <v>3568</v>
      </c>
      <c r="Y234" t="s">
        <v>3569</v>
      </c>
      <c r="Z234" t="s">
        <v>3570</v>
      </c>
      <c r="AA234" t="s">
        <v>74</v>
      </c>
      <c r="AB234" t="s">
        <v>3571</v>
      </c>
      <c r="AC234" t="s">
        <v>74</v>
      </c>
      <c r="AD234" t="s">
        <v>74</v>
      </c>
      <c r="AE234" t="s">
        <v>74</v>
      </c>
      <c r="AF234" t="s">
        <v>74</v>
      </c>
      <c r="AG234">
        <v>41</v>
      </c>
      <c r="AH234">
        <v>123</v>
      </c>
      <c r="AI234">
        <v>129</v>
      </c>
      <c r="AJ234">
        <v>0</v>
      </c>
      <c r="AK234">
        <v>29</v>
      </c>
      <c r="AL234" t="s">
        <v>1330</v>
      </c>
      <c r="AM234" t="s">
        <v>197</v>
      </c>
      <c r="AN234" t="s">
        <v>1331</v>
      </c>
      <c r="AO234" t="s">
        <v>3572</v>
      </c>
      <c r="AP234" t="s">
        <v>74</v>
      </c>
      <c r="AQ234" t="s">
        <v>74</v>
      </c>
      <c r="AR234" t="s">
        <v>3573</v>
      </c>
      <c r="AS234" t="s">
        <v>3574</v>
      </c>
      <c r="AT234" t="s">
        <v>2584</v>
      </c>
      <c r="AU234">
        <v>2004</v>
      </c>
      <c r="AV234">
        <v>13</v>
      </c>
      <c r="AW234">
        <v>11</v>
      </c>
      <c r="AX234" t="s">
        <v>74</v>
      </c>
      <c r="AY234" t="s">
        <v>74</v>
      </c>
      <c r="AZ234" t="s">
        <v>74</v>
      </c>
      <c r="BA234" t="s">
        <v>74</v>
      </c>
      <c r="BB234">
        <v>3293</v>
      </c>
      <c r="BC234">
        <v>3303</v>
      </c>
      <c r="BD234" t="s">
        <v>74</v>
      </c>
      <c r="BE234" t="s">
        <v>3575</v>
      </c>
      <c r="BF234" t="str">
        <f>HYPERLINK("http://dx.doi.org/10.1111/j.1365-294X.2004.02327.x","http://dx.doi.org/10.1111/j.1365-294X.2004.02327.x")</f>
        <v>http://dx.doi.org/10.1111/j.1365-294X.2004.02327.x</v>
      </c>
      <c r="BG234" t="s">
        <v>74</v>
      </c>
      <c r="BH234" t="s">
        <v>74</v>
      </c>
      <c r="BI234">
        <v>11</v>
      </c>
      <c r="BJ234" t="s">
        <v>3576</v>
      </c>
      <c r="BK234" t="s">
        <v>139</v>
      </c>
      <c r="BL234" t="s">
        <v>3577</v>
      </c>
      <c r="BM234" t="s">
        <v>3578</v>
      </c>
      <c r="BN234">
        <v>15487990</v>
      </c>
      <c r="BO234" t="s">
        <v>74</v>
      </c>
      <c r="BP234" t="s">
        <v>74</v>
      </c>
      <c r="BQ234" t="s">
        <v>74</v>
      </c>
      <c r="BR234" t="s">
        <v>98</v>
      </c>
      <c r="BS234" t="s">
        <v>3579</v>
      </c>
      <c r="BT234" t="str">
        <f>HYPERLINK("https%3A%2F%2Fwww.webofscience.com%2Fwos%2Fwoscc%2Ffull-record%2FWOS:000224524000004","View Full Record in Web of Science")</f>
        <v>View Full Record in Web of Science</v>
      </c>
    </row>
    <row r="235" spans="1:72" x14ac:dyDescent="0.15">
      <c r="A235" t="s">
        <v>122</v>
      </c>
      <c r="B235" t="s">
        <v>3580</v>
      </c>
      <c r="C235" t="s">
        <v>74</v>
      </c>
      <c r="D235" t="s">
        <v>74</v>
      </c>
      <c r="E235" t="s">
        <v>74</v>
      </c>
      <c r="F235" t="s">
        <v>3580</v>
      </c>
      <c r="G235" t="s">
        <v>74</v>
      </c>
      <c r="H235" t="s">
        <v>74</v>
      </c>
      <c r="I235" t="s">
        <v>3581</v>
      </c>
      <c r="J235" t="s">
        <v>3582</v>
      </c>
      <c r="K235" t="s">
        <v>74</v>
      </c>
      <c r="L235" t="s">
        <v>74</v>
      </c>
      <c r="M235" t="s">
        <v>79</v>
      </c>
      <c r="N235" t="s">
        <v>1129</v>
      </c>
      <c r="O235" t="s">
        <v>3583</v>
      </c>
      <c r="P235" t="s">
        <v>3584</v>
      </c>
      <c r="Q235" t="s">
        <v>3585</v>
      </c>
      <c r="R235" t="s">
        <v>74</v>
      </c>
      <c r="S235" t="s">
        <v>74</v>
      </c>
      <c r="T235" t="s">
        <v>3586</v>
      </c>
      <c r="U235" t="s">
        <v>3587</v>
      </c>
      <c r="V235" t="s">
        <v>3588</v>
      </c>
      <c r="W235" t="s">
        <v>3589</v>
      </c>
      <c r="X235" t="s">
        <v>3590</v>
      </c>
      <c r="Y235" t="s">
        <v>3591</v>
      </c>
      <c r="Z235" t="s">
        <v>3592</v>
      </c>
      <c r="AA235" t="s">
        <v>3593</v>
      </c>
      <c r="AB235" t="s">
        <v>3594</v>
      </c>
      <c r="AC235" t="s">
        <v>74</v>
      </c>
      <c r="AD235" t="s">
        <v>74</v>
      </c>
      <c r="AE235" t="s">
        <v>74</v>
      </c>
      <c r="AF235" t="s">
        <v>74</v>
      </c>
      <c r="AG235">
        <v>17</v>
      </c>
      <c r="AH235">
        <v>36</v>
      </c>
      <c r="AI235">
        <v>42</v>
      </c>
      <c r="AJ235">
        <v>1</v>
      </c>
      <c r="AK235">
        <v>31</v>
      </c>
      <c r="AL235" t="s">
        <v>1644</v>
      </c>
      <c r="AM235" t="s">
        <v>1645</v>
      </c>
      <c r="AN235" t="s">
        <v>1646</v>
      </c>
      <c r="AO235" t="s">
        <v>3595</v>
      </c>
      <c r="AP235" t="s">
        <v>3596</v>
      </c>
      <c r="AQ235" t="s">
        <v>74</v>
      </c>
      <c r="AR235" t="s">
        <v>3597</v>
      </c>
      <c r="AS235" t="s">
        <v>3598</v>
      </c>
      <c r="AT235" t="s">
        <v>3205</v>
      </c>
      <c r="AU235">
        <v>2004</v>
      </c>
      <c r="AV235">
        <v>30</v>
      </c>
      <c r="AW235" t="s">
        <v>3599</v>
      </c>
      <c r="AX235" t="s">
        <v>74</v>
      </c>
      <c r="AY235" t="s">
        <v>74</v>
      </c>
      <c r="AZ235" t="s">
        <v>74</v>
      </c>
      <c r="BA235" t="s">
        <v>74</v>
      </c>
      <c r="BB235">
        <v>973</v>
      </c>
      <c r="BC235">
        <v>979</v>
      </c>
      <c r="BD235" t="s">
        <v>74</v>
      </c>
      <c r="BE235" t="s">
        <v>3600</v>
      </c>
      <c r="BF235" t="str">
        <f>HYPERLINK("http://dx.doi.org/10.1080/08927020410001709307","http://dx.doi.org/10.1080/08927020410001709307")</f>
        <v>http://dx.doi.org/10.1080/08927020410001709307</v>
      </c>
      <c r="BG235" t="s">
        <v>74</v>
      </c>
      <c r="BH235" t="s">
        <v>74</v>
      </c>
      <c r="BI235">
        <v>7</v>
      </c>
      <c r="BJ235" t="s">
        <v>3601</v>
      </c>
      <c r="BK235" t="s">
        <v>1257</v>
      </c>
      <c r="BL235" t="s">
        <v>3602</v>
      </c>
      <c r="BM235" t="s">
        <v>3603</v>
      </c>
      <c r="BN235" t="s">
        <v>74</v>
      </c>
      <c r="BO235" t="s">
        <v>74</v>
      </c>
      <c r="BP235" t="s">
        <v>74</v>
      </c>
      <c r="BQ235" t="s">
        <v>74</v>
      </c>
      <c r="BR235" t="s">
        <v>98</v>
      </c>
      <c r="BS235" t="s">
        <v>3604</v>
      </c>
      <c r="BT235" t="str">
        <f>HYPERLINK("https%3A%2F%2Fwww.webofscience.com%2Fwos%2Fwoscc%2Ffull-record%2FWOS:000225751600025","View Full Record in Web of Science")</f>
        <v>View Full Record in Web of Science</v>
      </c>
    </row>
    <row r="236" spans="1:72" x14ac:dyDescent="0.15">
      <c r="A236" t="s">
        <v>122</v>
      </c>
      <c r="B236" t="s">
        <v>3605</v>
      </c>
      <c r="C236" t="s">
        <v>74</v>
      </c>
      <c r="D236" t="s">
        <v>74</v>
      </c>
      <c r="E236" t="s">
        <v>74</v>
      </c>
      <c r="F236" t="s">
        <v>3605</v>
      </c>
      <c r="G236" t="s">
        <v>74</v>
      </c>
      <c r="H236" t="s">
        <v>74</v>
      </c>
      <c r="I236" t="s">
        <v>3606</v>
      </c>
      <c r="J236" t="s">
        <v>3607</v>
      </c>
      <c r="K236" t="s">
        <v>74</v>
      </c>
      <c r="L236" t="s">
        <v>74</v>
      </c>
      <c r="M236" t="s">
        <v>79</v>
      </c>
      <c r="N236" t="s">
        <v>126</v>
      </c>
      <c r="O236" t="s">
        <v>74</v>
      </c>
      <c r="P236" t="s">
        <v>74</v>
      </c>
      <c r="Q236" t="s">
        <v>74</v>
      </c>
      <c r="R236" t="s">
        <v>74</v>
      </c>
      <c r="S236" t="s">
        <v>74</v>
      </c>
      <c r="T236" t="s">
        <v>74</v>
      </c>
      <c r="U236" t="s">
        <v>74</v>
      </c>
      <c r="V236" t="s">
        <v>3608</v>
      </c>
      <c r="W236" t="s">
        <v>3609</v>
      </c>
      <c r="X236" t="s">
        <v>3610</v>
      </c>
      <c r="Y236" t="s">
        <v>3611</v>
      </c>
      <c r="Z236" t="s">
        <v>74</v>
      </c>
      <c r="AA236" t="s">
        <v>3612</v>
      </c>
      <c r="AB236" t="s">
        <v>3613</v>
      </c>
      <c r="AC236" t="s">
        <v>74</v>
      </c>
      <c r="AD236" t="s">
        <v>74</v>
      </c>
      <c r="AE236" t="s">
        <v>74</v>
      </c>
      <c r="AF236" t="s">
        <v>74</v>
      </c>
      <c r="AG236">
        <v>17</v>
      </c>
      <c r="AH236">
        <v>0</v>
      </c>
      <c r="AI236">
        <v>0</v>
      </c>
      <c r="AJ236">
        <v>0</v>
      </c>
      <c r="AK236">
        <v>3</v>
      </c>
      <c r="AL236" t="s">
        <v>3614</v>
      </c>
      <c r="AM236" t="s">
        <v>3615</v>
      </c>
      <c r="AN236" t="s">
        <v>3616</v>
      </c>
      <c r="AO236" t="s">
        <v>3617</v>
      </c>
      <c r="AP236" t="s">
        <v>74</v>
      </c>
      <c r="AQ236" t="s">
        <v>74</v>
      </c>
      <c r="AR236" t="s">
        <v>3618</v>
      </c>
      <c r="AS236" t="s">
        <v>3619</v>
      </c>
      <c r="AT236" t="s">
        <v>3205</v>
      </c>
      <c r="AU236">
        <v>2004</v>
      </c>
      <c r="AV236">
        <v>44</v>
      </c>
      <c r="AW236">
        <v>6</v>
      </c>
      <c r="AX236" t="s">
        <v>74</v>
      </c>
      <c r="AY236" t="s">
        <v>74</v>
      </c>
      <c r="AZ236" t="s">
        <v>74</v>
      </c>
      <c r="BA236" t="s">
        <v>74</v>
      </c>
      <c r="BB236">
        <v>827</v>
      </c>
      <c r="BC236">
        <v>835</v>
      </c>
      <c r="BD236" t="s">
        <v>74</v>
      </c>
      <c r="BE236" t="s">
        <v>74</v>
      </c>
      <c r="BF236" t="s">
        <v>74</v>
      </c>
      <c r="BG236" t="s">
        <v>74</v>
      </c>
      <c r="BH236" t="s">
        <v>74</v>
      </c>
      <c r="BI236">
        <v>9</v>
      </c>
      <c r="BJ236" t="s">
        <v>660</v>
      </c>
      <c r="BK236" t="s">
        <v>139</v>
      </c>
      <c r="BL236" t="s">
        <v>660</v>
      </c>
      <c r="BM236" t="s">
        <v>3620</v>
      </c>
      <c r="BN236" t="s">
        <v>74</v>
      </c>
      <c r="BO236" t="s">
        <v>74</v>
      </c>
      <c r="BP236" t="s">
        <v>74</v>
      </c>
      <c r="BQ236" t="s">
        <v>74</v>
      </c>
      <c r="BR236" t="s">
        <v>98</v>
      </c>
      <c r="BS236" t="s">
        <v>3621</v>
      </c>
      <c r="BT236" t="str">
        <f>HYPERLINK("https%3A%2F%2Fwww.webofscience.com%2Fwos%2Fwoscc%2Ffull-record%2FWOS:000225984200008","View Full Record in Web of Science")</f>
        <v>View Full Record in Web of Science</v>
      </c>
    </row>
    <row r="237" spans="1:72" x14ac:dyDescent="0.15">
      <c r="A237" t="s">
        <v>122</v>
      </c>
      <c r="B237" t="s">
        <v>3622</v>
      </c>
      <c r="C237" t="s">
        <v>74</v>
      </c>
      <c r="D237" t="s">
        <v>74</v>
      </c>
      <c r="E237" t="s">
        <v>74</v>
      </c>
      <c r="F237" t="s">
        <v>3622</v>
      </c>
      <c r="G237" t="s">
        <v>74</v>
      </c>
      <c r="H237" t="s">
        <v>74</v>
      </c>
      <c r="I237" t="s">
        <v>3623</v>
      </c>
      <c r="J237" t="s">
        <v>3607</v>
      </c>
      <c r="K237" t="s">
        <v>74</v>
      </c>
      <c r="L237" t="s">
        <v>74</v>
      </c>
      <c r="M237" t="s">
        <v>79</v>
      </c>
      <c r="N237" t="s">
        <v>840</v>
      </c>
      <c r="O237" t="s">
        <v>74</v>
      </c>
      <c r="P237" t="s">
        <v>74</v>
      </c>
      <c r="Q237" t="s">
        <v>74</v>
      </c>
      <c r="R237" t="s">
        <v>74</v>
      </c>
      <c r="S237" t="s">
        <v>74</v>
      </c>
      <c r="T237" t="s">
        <v>74</v>
      </c>
      <c r="U237" t="s">
        <v>74</v>
      </c>
      <c r="V237" t="s">
        <v>74</v>
      </c>
      <c r="W237" t="s">
        <v>3624</v>
      </c>
      <c r="X237" t="s">
        <v>3625</v>
      </c>
      <c r="Y237" t="s">
        <v>3626</v>
      </c>
      <c r="Z237" t="s">
        <v>74</v>
      </c>
      <c r="AA237" t="s">
        <v>3627</v>
      </c>
      <c r="AB237" t="s">
        <v>3628</v>
      </c>
      <c r="AC237" t="s">
        <v>74</v>
      </c>
      <c r="AD237" t="s">
        <v>74</v>
      </c>
      <c r="AE237" t="s">
        <v>74</v>
      </c>
      <c r="AF237" t="s">
        <v>74</v>
      </c>
      <c r="AG237">
        <v>0</v>
      </c>
      <c r="AH237">
        <v>0</v>
      </c>
      <c r="AI237">
        <v>0</v>
      </c>
      <c r="AJ237">
        <v>0</v>
      </c>
      <c r="AK237">
        <v>3</v>
      </c>
      <c r="AL237" t="s">
        <v>3614</v>
      </c>
      <c r="AM237" t="s">
        <v>3615</v>
      </c>
      <c r="AN237" t="s">
        <v>3616</v>
      </c>
      <c r="AO237" t="s">
        <v>3617</v>
      </c>
      <c r="AP237" t="s">
        <v>74</v>
      </c>
      <c r="AQ237" t="s">
        <v>74</v>
      </c>
      <c r="AR237" t="s">
        <v>3618</v>
      </c>
      <c r="AS237" t="s">
        <v>3619</v>
      </c>
      <c r="AT237" t="s">
        <v>3205</v>
      </c>
      <c r="AU237">
        <v>2004</v>
      </c>
      <c r="AV237">
        <v>44</v>
      </c>
      <c r="AW237">
        <v>6</v>
      </c>
      <c r="AX237" t="s">
        <v>74</v>
      </c>
      <c r="AY237" t="s">
        <v>74</v>
      </c>
      <c r="AZ237" t="s">
        <v>74</v>
      </c>
      <c r="BA237" t="s">
        <v>74</v>
      </c>
      <c r="BB237">
        <v>884</v>
      </c>
      <c r="BC237">
        <v>886</v>
      </c>
      <c r="BD237" t="s">
        <v>74</v>
      </c>
      <c r="BE237" t="s">
        <v>74</v>
      </c>
      <c r="BF237" t="s">
        <v>74</v>
      </c>
      <c r="BG237" t="s">
        <v>74</v>
      </c>
      <c r="BH237" t="s">
        <v>74</v>
      </c>
      <c r="BI237">
        <v>3</v>
      </c>
      <c r="BJ237" t="s">
        <v>660</v>
      </c>
      <c r="BK237" t="s">
        <v>139</v>
      </c>
      <c r="BL237" t="s">
        <v>660</v>
      </c>
      <c r="BM237" t="s">
        <v>3620</v>
      </c>
      <c r="BN237" t="s">
        <v>74</v>
      </c>
      <c r="BO237" t="s">
        <v>74</v>
      </c>
      <c r="BP237" t="s">
        <v>74</v>
      </c>
      <c r="BQ237" t="s">
        <v>74</v>
      </c>
      <c r="BR237" t="s">
        <v>98</v>
      </c>
      <c r="BS237" t="s">
        <v>3629</v>
      </c>
      <c r="BT237" t="str">
        <f>HYPERLINK("https%3A%2F%2Fwww.webofscience.com%2Fwos%2Fwoscc%2Ffull-record%2FWOS:000225984200014","View Full Record in Web of Science")</f>
        <v>View Full Record in Web of Science</v>
      </c>
    </row>
    <row r="238" spans="1:72" x14ac:dyDescent="0.15">
      <c r="A238" t="s">
        <v>122</v>
      </c>
      <c r="B238" t="s">
        <v>3630</v>
      </c>
      <c r="C238" t="s">
        <v>74</v>
      </c>
      <c r="D238" t="s">
        <v>74</v>
      </c>
      <c r="E238" t="s">
        <v>74</v>
      </c>
      <c r="F238" t="s">
        <v>3630</v>
      </c>
      <c r="G238" t="s">
        <v>74</v>
      </c>
      <c r="H238" t="s">
        <v>74</v>
      </c>
      <c r="I238" t="s">
        <v>3631</v>
      </c>
      <c r="J238" t="s">
        <v>3632</v>
      </c>
      <c r="K238" t="s">
        <v>74</v>
      </c>
      <c r="L238" t="s">
        <v>74</v>
      </c>
      <c r="M238" t="s">
        <v>79</v>
      </c>
      <c r="N238" t="s">
        <v>126</v>
      </c>
      <c r="O238" t="s">
        <v>74</v>
      </c>
      <c r="P238" t="s">
        <v>74</v>
      </c>
      <c r="Q238" t="s">
        <v>74</v>
      </c>
      <c r="R238" t="s">
        <v>74</v>
      </c>
      <c r="S238" t="s">
        <v>74</v>
      </c>
      <c r="T238" t="s">
        <v>74</v>
      </c>
      <c r="U238" t="s">
        <v>3633</v>
      </c>
      <c r="V238" t="s">
        <v>3634</v>
      </c>
      <c r="W238" t="s">
        <v>3635</v>
      </c>
      <c r="X238" t="s">
        <v>1786</v>
      </c>
      <c r="Y238" t="s">
        <v>3636</v>
      </c>
      <c r="Z238" t="s">
        <v>3637</v>
      </c>
      <c r="AA238" t="s">
        <v>3638</v>
      </c>
      <c r="AB238" t="s">
        <v>3639</v>
      </c>
      <c r="AC238" t="s">
        <v>74</v>
      </c>
      <c r="AD238" t="s">
        <v>74</v>
      </c>
      <c r="AE238" t="s">
        <v>74</v>
      </c>
      <c r="AF238" t="s">
        <v>74</v>
      </c>
      <c r="AG238">
        <v>28</v>
      </c>
      <c r="AH238">
        <v>15</v>
      </c>
      <c r="AI238">
        <v>15</v>
      </c>
      <c r="AJ238">
        <v>1</v>
      </c>
      <c r="AK238">
        <v>6</v>
      </c>
      <c r="AL238" t="s">
        <v>3640</v>
      </c>
      <c r="AM238" t="s">
        <v>3641</v>
      </c>
      <c r="AN238" t="s">
        <v>3642</v>
      </c>
      <c r="AO238" t="s">
        <v>3643</v>
      </c>
      <c r="AP238" t="s">
        <v>74</v>
      </c>
      <c r="AQ238" t="s">
        <v>74</v>
      </c>
      <c r="AR238" t="s">
        <v>3632</v>
      </c>
      <c r="AS238" t="s">
        <v>3644</v>
      </c>
      <c r="AT238" t="s">
        <v>2584</v>
      </c>
      <c r="AU238">
        <v>2004</v>
      </c>
      <c r="AV238">
        <v>43</v>
      </c>
      <c r="AW238">
        <v>6</v>
      </c>
      <c r="AX238" t="s">
        <v>74</v>
      </c>
      <c r="AY238" t="s">
        <v>74</v>
      </c>
      <c r="AZ238" t="s">
        <v>74</v>
      </c>
      <c r="BA238" t="s">
        <v>74</v>
      </c>
      <c r="BB238">
        <v>744</v>
      </c>
      <c r="BC238">
        <v>755</v>
      </c>
      <c r="BD238" t="s">
        <v>74</v>
      </c>
      <c r="BE238" t="s">
        <v>3645</v>
      </c>
      <c r="BF238" t="str">
        <f>HYPERLINK("http://dx.doi.org/10.2216/i0031-8884-43-6-744.1","http://dx.doi.org/10.2216/i0031-8884-43-6-744.1")</f>
        <v>http://dx.doi.org/10.2216/i0031-8884-43-6-744.1</v>
      </c>
      <c r="BG238" t="s">
        <v>74</v>
      </c>
      <c r="BH238" t="s">
        <v>74</v>
      </c>
      <c r="BI238">
        <v>12</v>
      </c>
      <c r="BJ238" t="s">
        <v>1672</v>
      </c>
      <c r="BK238" t="s">
        <v>139</v>
      </c>
      <c r="BL238" t="s">
        <v>1672</v>
      </c>
      <c r="BM238" t="s">
        <v>3646</v>
      </c>
      <c r="BN238" t="s">
        <v>74</v>
      </c>
      <c r="BO238" t="s">
        <v>74</v>
      </c>
      <c r="BP238" t="s">
        <v>74</v>
      </c>
      <c r="BQ238" t="s">
        <v>74</v>
      </c>
      <c r="BR238" t="s">
        <v>98</v>
      </c>
      <c r="BS238" t="s">
        <v>3647</v>
      </c>
      <c r="BT238" t="str">
        <f>HYPERLINK("https%3A%2F%2Fwww.webofscience.com%2Fwos%2Fwoscc%2Ffull-record%2FWOS:000226220900013","View Full Record in Web of Science")</f>
        <v>View Full Record in Web of Science</v>
      </c>
    </row>
    <row r="239" spans="1:72" x14ac:dyDescent="0.15">
      <c r="A239" t="s">
        <v>122</v>
      </c>
      <c r="B239" t="s">
        <v>3648</v>
      </c>
      <c r="C239" t="s">
        <v>74</v>
      </c>
      <c r="D239" t="s">
        <v>74</v>
      </c>
      <c r="E239" t="s">
        <v>74</v>
      </c>
      <c r="F239" t="s">
        <v>3648</v>
      </c>
      <c r="G239" t="s">
        <v>74</v>
      </c>
      <c r="H239" t="s">
        <v>74</v>
      </c>
      <c r="I239" t="s">
        <v>3649</v>
      </c>
      <c r="J239" t="s">
        <v>3650</v>
      </c>
      <c r="K239" t="s">
        <v>74</v>
      </c>
      <c r="L239" t="s">
        <v>74</v>
      </c>
      <c r="M239" t="s">
        <v>79</v>
      </c>
      <c r="N239" t="s">
        <v>126</v>
      </c>
      <c r="O239" t="s">
        <v>74</v>
      </c>
      <c r="P239" t="s">
        <v>74</v>
      </c>
      <c r="Q239" t="s">
        <v>74</v>
      </c>
      <c r="R239" t="s">
        <v>74</v>
      </c>
      <c r="S239" t="s">
        <v>74</v>
      </c>
      <c r="T239" t="s">
        <v>74</v>
      </c>
      <c r="U239" t="s">
        <v>3651</v>
      </c>
      <c r="V239" t="s">
        <v>3652</v>
      </c>
      <c r="W239" t="s">
        <v>3653</v>
      </c>
      <c r="X239" t="s">
        <v>3654</v>
      </c>
      <c r="Y239" t="s">
        <v>3655</v>
      </c>
      <c r="Z239" t="s">
        <v>3656</v>
      </c>
      <c r="AA239" t="s">
        <v>3657</v>
      </c>
      <c r="AB239" t="s">
        <v>3658</v>
      </c>
      <c r="AC239" t="s">
        <v>74</v>
      </c>
      <c r="AD239" t="s">
        <v>74</v>
      </c>
      <c r="AE239" t="s">
        <v>74</v>
      </c>
      <c r="AF239" t="s">
        <v>74</v>
      </c>
      <c r="AG239">
        <v>46</v>
      </c>
      <c r="AH239">
        <v>19</v>
      </c>
      <c r="AI239">
        <v>28</v>
      </c>
      <c r="AJ239">
        <v>0</v>
      </c>
      <c r="AK239">
        <v>9</v>
      </c>
      <c r="AL239" t="s">
        <v>1418</v>
      </c>
      <c r="AM239" t="s">
        <v>1419</v>
      </c>
      <c r="AN239" t="s">
        <v>1420</v>
      </c>
      <c r="AO239" t="s">
        <v>3659</v>
      </c>
      <c r="AP239" t="s">
        <v>3660</v>
      </c>
      <c r="AQ239" t="s">
        <v>74</v>
      </c>
      <c r="AR239" t="s">
        <v>3661</v>
      </c>
      <c r="AS239" t="s">
        <v>3662</v>
      </c>
      <c r="AT239" t="s">
        <v>2584</v>
      </c>
      <c r="AU239">
        <v>2004</v>
      </c>
      <c r="AV239">
        <v>122</v>
      </c>
      <c r="AW239">
        <v>3</v>
      </c>
      <c r="AX239" t="s">
        <v>74</v>
      </c>
      <c r="AY239" t="s">
        <v>74</v>
      </c>
      <c r="AZ239" t="s">
        <v>74</v>
      </c>
      <c r="BA239" t="s">
        <v>74</v>
      </c>
      <c r="BB239">
        <v>362</v>
      </c>
      <c r="BC239">
        <v>372</v>
      </c>
      <c r="BD239" t="s">
        <v>74</v>
      </c>
      <c r="BE239" t="s">
        <v>3663</v>
      </c>
      <c r="BF239" t="str">
        <f>HYPERLINK("http://dx.doi.org/10.1111/j.1399-3054.2004.00411.x","http://dx.doi.org/10.1111/j.1399-3054.2004.00411.x")</f>
        <v>http://dx.doi.org/10.1111/j.1399-3054.2004.00411.x</v>
      </c>
      <c r="BG239" t="s">
        <v>74</v>
      </c>
      <c r="BH239" t="s">
        <v>74</v>
      </c>
      <c r="BI239">
        <v>11</v>
      </c>
      <c r="BJ239" t="s">
        <v>912</v>
      </c>
      <c r="BK239" t="s">
        <v>139</v>
      </c>
      <c r="BL239" t="s">
        <v>912</v>
      </c>
      <c r="BM239" t="s">
        <v>3664</v>
      </c>
      <c r="BN239" t="s">
        <v>74</v>
      </c>
      <c r="BO239" t="s">
        <v>74</v>
      </c>
      <c r="BP239" t="s">
        <v>74</v>
      </c>
      <c r="BQ239" t="s">
        <v>74</v>
      </c>
      <c r="BR239" t="s">
        <v>98</v>
      </c>
      <c r="BS239" t="s">
        <v>3665</v>
      </c>
      <c r="BT239" t="str">
        <f>HYPERLINK("https%3A%2F%2Fwww.webofscience.com%2Fwos%2Fwoscc%2Ffull-record%2FWOS:000224442700009","View Full Record in Web of Science")</f>
        <v>View Full Record in Web of Science</v>
      </c>
    </row>
    <row r="240" spans="1:72" x14ac:dyDescent="0.15">
      <c r="A240" t="s">
        <v>122</v>
      </c>
      <c r="B240" t="s">
        <v>3666</v>
      </c>
      <c r="C240" t="s">
        <v>74</v>
      </c>
      <c r="D240" t="s">
        <v>74</v>
      </c>
      <c r="E240" t="s">
        <v>74</v>
      </c>
      <c r="F240" t="s">
        <v>3666</v>
      </c>
      <c r="G240" t="s">
        <v>74</v>
      </c>
      <c r="H240" t="s">
        <v>74</v>
      </c>
      <c r="I240" t="s">
        <v>3667</v>
      </c>
      <c r="J240" t="s">
        <v>3668</v>
      </c>
      <c r="K240" t="s">
        <v>74</v>
      </c>
      <c r="L240" t="s">
        <v>74</v>
      </c>
      <c r="M240" t="s">
        <v>79</v>
      </c>
      <c r="N240" t="s">
        <v>126</v>
      </c>
      <c r="O240" t="s">
        <v>74</v>
      </c>
      <c r="P240" t="s">
        <v>74</v>
      </c>
      <c r="Q240" t="s">
        <v>74</v>
      </c>
      <c r="R240" t="s">
        <v>74</v>
      </c>
      <c r="S240" t="s">
        <v>74</v>
      </c>
      <c r="T240" t="s">
        <v>3669</v>
      </c>
      <c r="U240" t="s">
        <v>3670</v>
      </c>
      <c r="V240" t="s">
        <v>3671</v>
      </c>
      <c r="W240" t="s">
        <v>3672</v>
      </c>
      <c r="X240" t="s">
        <v>3673</v>
      </c>
      <c r="Y240" t="s">
        <v>3674</v>
      </c>
      <c r="Z240" t="s">
        <v>3675</v>
      </c>
      <c r="AA240" t="s">
        <v>3676</v>
      </c>
      <c r="AB240" t="s">
        <v>3677</v>
      </c>
      <c r="AC240" t="s">
        <v>74</v>
      </c>
      <c r="AD240" t="s">
        <v>74</v>
      </c>
      <c r="AE240" t="s">
        <v>74</v>
      </c>
      <c r="AF240" t="s">
        <v>74</v>
      </c>
      <c r="AG240">
        <v>48</v>
      </c>
      <c r="AH240">
        <v>38</v>
      </c>
      <c r="AI240">
        <v>45</v>
      </c>
      <c r="AJ240">
        <v>0</v>
      </c>
      <c r="AK240">
        <v>13</v>
      </c>
      <c r="AL240" t="s">
        <v>1418</v>
      </c>
      <c r="AM240" t="s">
        <v>1419</v>
      </c>
      <c r="AN240" t="s">
        <v>1420</v>
      </c>
      <c r="AO240" t="s">
        <v>3678</v>
      </c>
      <c r="AP240" t="s">
        <v>3679</v>
      </c>
      <c r="AQ240" t="s">
        <v>74</v>
      </c>
      <c r="AR240" t="s">
        <v>3680</v>
      </c>
      <c r="AS240" t="s">
        <v>3681</v>
      </c>
      <c r="AT240" t="s">
        <v>2584</v>
      </c>
      <c r="AU240">
        <v>2004</v>
      </c>
      <c r="AV240">
        <v>27</v>
      </c>
      <c r="AW240">
        <v>11</v>
      </c>
      <c r="AX240" t="s">
        <v>74</v>
      </c>
      <c r="AY240" t="s">
        <v>74</v>
      </c>
      <c r="AZ240" t="s">
        <v>74</v>
      </c>
      <c r="BA240" t="s">
        <v>74</v>
      </c>
      <c r="BB240">
        <v>1415</v>
      </c>
      <c r="BC240">
        <v>1423</v>
      </c>
      <c r="BD240" t="s">
        <v>74</v>
      </c>
      <c r="BE240" t="s">
        <v>3682</v>
      </c>
      <c r="BF240" t="str">
        <f>HYPERLINK("http://dx.doi.org/10.1111/j.1365-3040.2004.01244.x","http://dx.doi.org/10.1111/j.1365-3040.2004.01244.x")</f>
        <v>http://dx.doi.org/10.1111/j.1365-3040.2004.01244.x</v>
      </c>
      <c r="BG240" t="s">
        <v>74</v>
      </c>
      <c r="BH240" t="s">
        <v>74</v>
      </c>
      <c r="BI240">
        <v>9</v>
      </c>
      <c r="BJ240" t="s">
        <v>912</v>
      </c>
      <c r="BK240" t="s">
        <v>139</v>
      </c>
      <c r="BL240" t="s">
        <v>912</v>
      </c>
      <c r="BM240" t="s">
        <v>3683</v>
      </c>
      <c r="BN240" t="s">
        <v>74</v>
      </c>
      <c r="BO240" t="s">
        <v>273</v>
      </c>
      <c r="BP240" t="s">
        <v>74</v>
      </c>
      <c r="BQ240" t="s">
        <v>74</v>
      </c>
      <c r="BR240" t="s">
        <v>98</v>
      </c>
      <c r="BS240" t="s">
        <v>3684</v>
      </c>
      <c r="BT240" t="str">
        <f>HYPERLINK("https%3A%2F%2Fwww.webofscience.com%2Fwos%2Fwoscc%2Ffull-record%2FWOS:000225188800009","View Full Record in Web of Science")</f>
        <v>View Full Record in Web of Science</v>
      </c>
    </row>
    <row r="241" spans="1:72" x14ac:dyDescent="0.15">
      <c r="A241" t="s">
        <v>122</v>
      </c>
      <c r="B241" t="s">
        <v>3685</v>
      </c>
      <c r="C241" t="s">
        <v>74</v>
      </c>
      <c r="D241" t="s">
        <v>74</v>
      </c>
      <c r="E241" t="s">
        <v>74</v>
      </c>
      <c r="F241" t="s">
        <v>3685</v>
      </c>
      <c r="G241" t="s">
        <v>74</v>
      </c>
      <c r="H241" t="s">
        <v>74</v>
      </c>
      <c r="I241" t="s">
        <v>3686</v>
      </c>
      <c r="J241" t="s">
        <v>1912</v>
      </c>
      <c r="K241" t="s">
        <v>74</v>
      </c>
      <c r="L241" t="s">
        <v>74</v>
      </c>
      <c r="M241" t="s">
        <v>79</v>
      </c>
      <c r="N241" t="s">
        <v>126</v>
      </c>
      <c r="O241" t="s">
        <v>74</v>
      </c>
      <c r="P241" t="s">
        <v>74</v>
      </c>
      <c r="Q241" t="s">
        <v>74</v>
      </c>
      <c r="R241" t="s">
        <v>74</v>
      </c>
      <c r="S241" t="s">
        <v>74</v>
      </c>
      <c r="T241" t="s">
        <v>74</v>
      </c>
      <c r="U241" t="s">
        <v>3687</v>
      </c>
      <c r="V241" t="s">
        <v>3688</v>
      </c>
      <c r="W241" t="s">
        <v>3689</v>
      </c>
      <c r="X241" t="s">
        <v>3690</v>
      </c>
      <c r="Y241" t="s">
        <v>3691</v>
      </c>
      <c r="Z241" t="s">
        <v>3692</v>
      </c>
      <c r="AA241" t="s">
        <v>3693</v>
      </c>
      <c r="AB241" t="s">
        <v>3694</v>
      </c>
      <c r="AC241" t="s">
        <v>74</v>
      </c>
      <c r="AD241" t="s">
        <v>74</v>
      </c>
      <c r="AE241" t="s">
        <v>74</v>
      </c>
      <c r="AF241" t="s">
        <v>74</v>
      </c>
      <c r="AG241">
        <v>22</v>
      </c>
      <c r="AH241">
        <v>39</v>
      </c>
      <c r="AI241">
        <v>40</v>
      </c>
      <c r="AJ241">
        <v>0</v>
      </c>
      <c r="AK241">
        <v>1</v>
      </c>
      <c r="AL241" t="s">
        <v>1509</v>
      </c>
      <c r="AM241" t="s">
        <v>613</v>
      </c>
      <c r="AN241" t="s">
        <v>1948</v>
      </c>
      <c r="AO241" t="s">
        <v>1921</v>
      </c>
      <c r="AP241" t="s">
        <v>1937</v>
      </c>
      <c r="AQ241" t="s">
        <v>74</v>
      </c>
      <c r="AR241" t="s">
        <v>1922</v>
      </c>
      <c r="AS241" t="s">
        <v>1923</v>
      </c>
      <c r="AT241" t="s">
        <v>2584</v>
      </c>
      <c r="AU241">
        <v>2004</v>
      </c>
      <c r="AV241">
        <v>27</v>
      </c>
      <c r="AW241">
        <v>12</v>
      </c>
      <c r="AX241" t="s">
        <v>74</v>
      </c>
      <c r="AY241" t="s">
        <v>74</v>
      </c>
      <c r="AZ241" t="s">
        <v>74</v>
      </c>
      <c r="BA241" t="s">
        <v>74</v>
      </c>
      <c r="BB241">
        <v>767</v>
      </c>
      <c r="BC241">
        <v>774</v>
      </c>
      <c r="BD241" t="s">
        <v>74</v>
      </c>
      <c r="BE241" t="s">
        <v>3695</v>
      </c>
      <c r="BF241" t="str">
        <f>HYPERLINK("http://dx.doi.org/10.1007/s00300-004-0654-9","http://dx.doi.org/10.1007/s00300-004-0654-9")</f>
        <v>http://dx.doi.org/10.1007/s00300-004-0654-9</v>
      </c>
      <c r="BG241" t="s">
        <v>74</v>
      </c>
      <c r="BH241" t="s">
        <v>74</v>
      </c>
      <c r="BI241">
        <v>8</v>
      </c>
      <c r="BJ241" t="s">
        <v>1491</v>
      </c>
      <c r="BK241" t="s">
        <v>139</v>
      </c>
      <c r="BL241" t="s">
        <v>1337</v>
      </c>
      <c r="BM241" t="s">
        <v>3696</v>
      </c>
      <c r="BN241" t="s">
        <v>74</v>
      </c>
      <c r="BO241" t="s">
        <v>74</v>
      </c>
      <c r="BP241" t="s">
        <v>74</v>
      </c>
      <c r="BQ241" t="s">
        <v>74</v>
      </c>
      <c r="BR241" t="s">
        <v>98</v>
      </c>
      <c r="BS241" t="s">
        <v>3697</v>
      </c>
      <c r="BT241" t="str">
        <f>HYPERLINK("https%3A%2F%2Fwww.webofscience.com%2Fwos%2Fwoscc%2Ffull-record%2FWOS:000225050300005","View Full Record in Web of Science")</f>
        <v>View Full Record in Web of Science</v>
      </c>
    </row>
    <row r="242" spans="1:72" x14ac:dyDescent="0.15">
      <c r="A242" t="s">
        <v>122</v>
      </c>
      <c r="B242" t="s">
        <v>3698</v>
      </c>
      <c r="C242" t="s">
        <v>74</v>
      </c>
      <c r="D242" t="s">
        <v>74</v>
      </c>
      <c r="E242" t="s">
        <v>74</v>
      </c>
      <c r="F242" t="s">
        <v>3698</v>
      </c>
      <c r="G242" t="s">
        <v>74</v>
      </c>
      <c r="H242" t="s">
        <v>74</v>
      </c>
      <c r="I242" t="s">
        <v>3699</v>
      </c>
      <c r="J242" t="s">
        <v>1912</v>
      </c>
      <c r="K242" t="s">
        <v>74</v>
      </c>
      <c r="L242" t="s">
        <v>74</v>
      </c>
      <c r="M242" t="s">
        <v>79</v>
      </c>
      <c r="N242" t="s">
        <v>126</v>
      </c>
      <c r="O242" t="s">
        <v>74</v>
      </c>
      <c r="P242" t="s">
        <v>74</v>
      </c>
      <c r="Q242" t="s">
        <v>74</v>
      </c>
      <c r="R242" t="s">
        <v>74</v>
      </c>
      <c r="S242" t="s">
        <v>74</v>
      </c>
      <c r="T242" t="s">
        <v>74</v>
      </c>
      <c r="U242" t="s">
        <v>3700</v>
      </c>
      <c r="V242" t="s">
        <v>3701</v>
      </c>
      <c r="W242" t="s">
        <v>3702</v>
      </c>
      <c r="X242" t="s">
        <v>3703</v>
      </c>
      <c r="Y242" t="s">
        <v>3704</v>
      </c>
      <c r="Z242" t="s">
        <v>3705</v>
      </c>
      <c r="AA242" t="s">
        <v>3706</v>
      </c>
      <c r="AB242" t="s">
        <v>3707</v>
      </c>
      <c r="AC242" t="s">
        <v>74</v>
      </c>
      <c r="AD242" t="s">
        <v>74</v>
      </c>
      <c r="AE242" t="s">
        <v>74</v>
      </c>
      <c r="AF242" t="s">
        <v>74</v>
      </c>
      <c r="AG242">
        <v>57</v>
      </c>
      <c r="AH242">
        <v>16</v>
      </c>
      <c r="AI242">
        <v>19</v>
      </c>
      <c r="AJ242">
        <v>0</v>
      </c>
      <c r="AK242">
        <v>19</v>
      </c>
      <c r="AL242" t="s">
        <v>1509</v>
      </c>
      <c r="AM242" t="s">
        <v>613</v>
      </c>
      <c r="AN242" t="s">
        <v>1948</v>
      </c>
      <c r="AO242" t="s">
        <v>1921</v>
      </c>
      <c r="AP242" t="s">
        <v>1937</v>
      </c>
      <c r="AQ242" t="s">
        <v>74</v>
      </c>
      <c r="AR242" t="s">
        <v>1922</v>
      </c>
      <c r="AS242" t="s">
        <v>1923</v>
      </c>
      <c r="AT242" t="s">
        <v>2584</v>
      </c>
      <c r="AU242">
        <v>2004</v>
      </c>
      <c r="AV242">
        <v>27</v>
      </c>
      <c r="AW242">
        <v>12</v>
      </c>
      <c r="AX242" t="s">
        <v>74</v>
      </c>
      <c r="AY242" t="s">
        <v>74</v>
      </c>
      <c r="AZ242" t="s">
        <v>74</v>
      </c>
      <c r="BA242" t="s">
        <v>74</v>
      </c>
      <c r="BB242">
        <v>782</v>
      </c>
      <c r="BC242">
        <v>792</v>
      </c>
      <c r="BD242" t="s">
        <v>74</v>
      </c>
      <c r="BE242" t="s">
        <v>3708</v>
      </c>
      <c r="BF242" t="str">
        <f>HYPERLINK("http://dx.doi.org/10.1007/s00300-004-0652-y","http://dx.doi.org/10.1007/s00300-004-0652-y")</f>
        <v>http://dx.doi.org/10.1007/s00300-004-0652-y</v>
      </c>
      <c r="BG242" t="s">
        <v>74</v>
      </c>
      <c r="BH242" t="s">
        <v>74</v>
      </c>
      <c r="BI242">
        <v>11</v>
      </c>
      <c r="BJ242" t="s">
        <v>1491</v>
      </c>
      <c r="BK242" t="s">
        <v>139</v>
      </c>
      <c r="BL242" t="s">
        <v>1337</v>
      </c>
      <c r="BM242" t="s">
        <v>3696</v>
      </c>
      <c r="BN242" t="s">
        <v>74</v>
      </c>
      <c r="BO242" t="s">
        <v>74</v>
      </c>
      <c r="BP242" t="s">
        <v>74</v>
      </c>
      <c r="BQ242" t="s">
        <v>74</v>
      </c>
      <c r="BR242" t="s">
        <v>98</v>
      </c>
      <c r="BS242" t="s">
        <v>3709</v>
      </c>
      <c r="BT242" t="str">
        <f>HYPERLINK("https%3A%2F%2Fwww.webofscience.com%2Fwos%2Fwoscc%2Ffull-record%2FWOS:000225050300007","View Full Record in Web of Science")</f>
        <v>View Full Record in Web of Science</v>
      </c>
    </row>
    <row r="243" spans="1:72" x14ac:dyDescent="0.15">
      <c r="A243" t="s">
        <v>122</v>
      </c>
      <c r="B243" t="s">
        <v>3710</v>
      </c>
      <c r="C243" t="s">
        <v>74</v>
      </c>
      <c r="D243" t="s">
        <v>74</v>
      </c>
      <c r="E243" t="s">
        <v>74</v>
      </c>
      <c r="F243" t="s">
        <v>3710</v>
      </c>
      <c r="G243" t="s">
        <v>74</v>
      </c>
      <c r="H243" t="s">
        <v>74</v>
      </c>
      <c r="I243" t="s">
        <v>3711</v>
      </c>
      <c r="J243" t="s">
        <v>1912</v>
      </c>
      <c r="K243" t="s">
        <v>74</v>
      </c>
      <c r="L243" t="s">
        <v>74</v>
      </c>
      <c r="M243" t="s">
        <v>79</v>
      </c>
      <c r="N243" t="s">
        <v>126</v>
      </c>
      <c r="O243" t="s">
        <v>74</v>
      </c>
      <c r="P243" t="s">
        <v>74</v>
      </c>
      <c r="Q243" t="s">
        <v>74</v>
      </c>
      <c r="R243" t="s">
        <v>74</v>
      </c>
      <c r="S243" t="s">
        <v>74</v>
      </c>
      <c r="T243" t="s">
        <v>74</v>
      </c>
      <c r="U243" t="s">
        <v>3712</v>
      </c>
      <c r="V243" t="s">
        <v>3713</v>
      </c>
      <c r="W243" t="s">
        <v>3714</v>
      </c>
      <c r="X243" t="s">
        <v>3715</v>
      </c>
      <c r="Y243" t="s">
        <v>3716</v>
      </c>
      <c r="Z243" t="s">
        <v>3717</v>
      </c>
      <c r="AA243" t="s">
        <v>3718</v>
      </c>
      <c r="AB243" t="s">
        <v>3719</v>
      </c>
      <c r="AC243" t="s">
        <v>74</v>
      </c>
      <c r="AD243" t="s">
        <v>74</v>
      </c>
      <c r="AE243" t="s">
        <v>74</v>
      </c>
      <c r="AF243" t="s">
        <v>74</v>
      </c>
      <c r="AG243">
        <v>39</v>
      </c>
      <c r="AH243">
        <v>4</v>
      </c>
      <c r="AI243">
        <v>4</v>
      </c>
      <c r="AJ243">
        <v>0</v>
      </c>
      <c r="AK243">
        <v>6</v>
      </c>
      <c r="AL243" t="s">
        <v>1509</v>
      </c>
      <c r="AM243" t="s">
        <v>613</v>
      </c>
      <c r="AN243" t="s">
        <v>1776</v>
      </c>
      <c r="AO243" t="s">
        <v>1921</v>
      </c>
      <c r="AP243" t="s">
        <v>74</v>
      </c>
      <c r="AQ243" t="s">
        <v>74</v>
      </c>
      <c r="AR243" t="s">
        <v>1922</v>
      </c>
      <c r="AS243" t="s">
        <v>1923</v>
      </c>
      <c r="AT243" t="s">
        <v>2584</v>
      </c>
      <c r="AU243">
        <v>2004</v>
      </c>
      <c r="AV243">
        <v>27</v>
      </c>
      <c r="AW243">
        <v>12</v>
      </c>
      <c r="AX243" t="s">
        <v>74</v>
      </c>
      <c r="AY243" t="s">
        <v>74</v>
      </c>
      <c r="AZ243" t="s">
        <v>74</v>
      </c>
      <c r="BA243" t="s">
        <v>74</v>
      </c>
      <c r="BB243">
        <v>801</v>
      </c>
      <c r="BC243">
        <v>809</v>
      </c>
      <c r="BD243" t="s">
        <v>74</v>
      </c>
      <c r="BE243" t="s">
        <v>3720</v>
      </c>
      <c r="BF243" t="str">
        <f>HYPERLINK("http://dx.doi.org/10.1007/s00300-004-0648-7","http://dx.doi.org/10.1007/s00300-004-0648-7")</f>
        <v>http://dx.doi.org/10.1007/s00300-004-0648-7</v>
      </c>
      <c r="BG243" t="s">
        <v>74</v>
      </c>
      <c r="BH243" t="s">
        <v>74</v>
      </c>
      <c r="BI243">
        <v>9</v>
      </c>
      <c r="BJ243" t="s">
        <v>1491</v>
      </c>
      <c r="BK243" t="s">
        <v>139</v>
      </c>
      <c r="BL243" t="s">
        <v>1337</v>
      </c>
      <c r="BM243" t="s">
        <v>3696</v>
      </c>
      <c r="BN243" t="s">
        <v>74</v>
      </c>
      <c r="BO243" t="s">
        <v>74</v>
      </c>
      <c r="BP243" t="s">
        <v>74</v>
      </c>
      <c r="BQ243" t="s">
        <v>74</v>
      </c>
      <c r="BR243" t="s">
        <v>98</v>
      </c>
      <c r="BS243" t="s">
        <v>3721</v>
      </c>
      <c r="BT243" t="str">
        <f>HYPERLINK("https%3A%2F%2Fwww.webofscience.com%2Fwos%2Fwoscc%2Ffull-record%2FWOS:000225050300009","View Full Record in Web of Science")</f>
        <v>View Full Record in Web of Science</v>
      </c>
    </row>
    <row r="244" spans="1:72" x14ac:dyDescent="0.15">
      <c r="A244" t="s">
        <v>122</v>
      </c>
      <c r="B244" t="s">
        <v>3722</v>
      </c>
      <c r="C244" t="s">
        <v>74</v>
      </c>
      <c r="D244" t="s">
        <v>74</v>
      </c>
      <c r="E244" t="s">
        <v>74</v>
      </c>
      <c r="F244" t="s">
        <v>3722</v>
      </c>
      <c r="G244" t="s">
        <v>74</v>
      </c>
      <c r="H244" t="s">
        <v>74</v>
      </c>
      <c r="I244" t="s">
        <v>3723</v>
      </c>
      <c r="J244" t="s">
        <v>3724</v>
      </c>
      <c r="K244" t="s">
        <v>74</v>
      </c>
      <c r="L244" t="s">
        <v>74</v>
      </c>
      <c r="M244" t="s">
        <v>79</v>
      </c>
      <c r="N244" t="s">
        <v>126</v>
      </c>
      <c r="O244" t="s">
        <v>74</v>
      </c>
      <c r="P244" t="s">
        <v>74</v>
      </c>
      <c r="Q244" t="s">
        <v>74</v>
      </c>
      <c r="R244" t="s">
        <v>74</v>
      </c>
      <c r="S244" t="s">
        <v>74</v>
      </c>
      <c r="T244" t="s">
        <v>74</v>
      </c>
      <c r="U244" t="s">
        <v>74</v>
      </c>
      <c r="V244" t="s">
        <v>3725</v>
      </c>
      <c r="W244" t="s">
        <v>3726</v>
      </c>
      <c r="X244" t="s">
        <v>3727</v>
      </c>
      <c r="Y244" t="s">
        <v>3728</v>
      </c>
      <c r="Z244" t="s">
        <v>3729</v>
      </c>
      <c r="AA244" t="s">
        <v>3730</v>
      </c>
      <c r="AB244" t="s">
        <v>3731</v>
      </c>
      <c r="AC244" t="s">
        <v>74</v>
      </c>
      <c r="AD244" t="s">
        <v>74</v>
      </c>
      <c r="AE244" t="s">
        <v>74</v>
      </c>
      <c r="AF244" t="s">
        <v>74</v>
      </c>
      <c r="AG244">
        <v>39</v>
      </c>
      <c r="AH244">
        <v>20</v>
      </c>
      <c r="AI244">
        <v>21</v>
      </c>
      <c r="AJ244">
        <v>0</v>
      </c>
      <c r="AK244">
        <v>8</v>
      </c>
      <c r="AL244" t="s">
        <v>3732</v>
      </c>
      <c r="AM244" t="s">
        <v>3733</v>
      </c>
      <c r="AN244" t="s">
        <v>3734</v>
      </c>
      <c r="AO244" t="s">
        <v>3735</v>
      </c>
      <c r="AP244" t="s">
        <v>74</v>
      </c>
      <c r="AQ244" t="s">
        <v>74</v>
      </c>
      <c r="AR244" t="s">
        <v>3736</v>
      </c>
      <c r="AS244" t="s">
        <v>3737</v>
      </c>
      <c r="AT244" t="s">
        <v>2584</v>
      </c>
      <c r="AU244">
        <v>2004</v>
      </c>
      <c r="AV244">
        <v>55</v>
      </c>
      <c r="AW244" t="s">
        <v>74</v>
      </c>
      <c r="AX244">
        <v>2</v>
      </c>
      <c r="AY244" t="s">
        <v>74</v>
      </c>
      <c r="AZ244" t="s">
        <v>74</v>
      </c>
      <c r="BA244" t="s">
        <v>74</v>
      </c>
      <c r="BB244">
        <v>131</v>
      </c>
      <c r="BC244">
        <v>143</v>
      </c>
      <c r="BD244" t="s">
        <v>74</v>
      </c>
      <c r="BE244" t="s">
        <v>3738</v>
      </c>
      <c r="BF244" t="str">
        <f>HYPERLINK("http://dx.doi.org/10.1144/pygs.55.2.131","http://dx.doi.org/10.1144/pygs.55.2.131")</f>
        <v>http://dx.doi.org/10.1144/pygs.55.2.131</v>
      </c>
      <c r="BG244" t="s">
        <v>74</v>
      </c>
      <c r="BH244" t="s">
        <v>74</v>
      </c>
      <c r="BI244">
        <v>13</v>
      </c>
      <c r="BJ244" t="s">
        <v>249</v>
      </c>
      <c r="BK244" t="s">
        <v>139</v>
      </c>
      <c r="BL244" t="s">
        <v>249</v>
      </c>
      <c r="BM244" t="s">
        <v>3739</v>
      </c>
      <c r="BN244" t="s">
        <v>74</v>
      </c>
      <c r="BO244" t="s">
        <v>74</v>
      </c>
      <c r="BP244" t="s">
        <v>74</v>
      </c>
      <c r="BQ244" t="s">
        <v>74</v>
      </c>
      <c r="BR244" t="s">
        <v>98</v>
      </c>
      <c r="BS244" t="s">
        <v>3740</v>
      </c>
      <c r="BT244" t="str">
        <f>HYPERLINK("https%3A%2F%2Fwww.webofscience.com%2Fwos%2Fwoscc%2Ffull-record%2FWOS:000226715300004","View Full Record in Web of Science")</f>
        <v>View Full Record in Web of Science</v>
      </c>
    </row>
    <row r="245" spans="1:72" x14ac:dyDescent="0.15">
      <c r="A245" t="s">
        <v>122</v>
      </c>
      <c r="B245" t="s">
        <v>3741</v>
      </c>
      <c r="C245" t="s">
        <v>74</v>
      </c>
      <c r="D245" t="s">
        <v>74</v>
      </c>
      <c r="E245" t="s">
        <v>74</v>
      </c>
      <c r="F245" t="s">
        <v>3741</v>
      </c>
      <c r="G245" t="s">
        <v>74</v>
      </c>
      <c r="H245" t="s">
        <v>74</v>
      </c>
      <c r="I245" t="s">
        <v>3742</v>
      </c>
      <c r="J245" t="s">
        <v>3724</v>
      </c>
      <c r="K245" t="s">
        <v>74</v>
      </c>
      <c r="L245" t="s">
        <v>74</v>
      </c>
      <c r="M245" t="s">
        <v>79</v>
      </c>
      <c r="N245" t="s">
        <v>126</v>
      </c>
      <c r="O245" t="s">
        <v>74</v>
      </c>
      <c r="P245" t="s">
        <v>74</v>
      </c>
      <c r="Q245" t="s">
        <v>74</v>
      </c>
      <c r="R245" t="s">
        <v>74</v>
      </c>
      <c r="S245" t="s">
        <v>74</v>
      </c>
      <c r="T245" t="s">
        <v>74</v>
      </c>
      <c r="U245" t="s">
        <v>3743</v>
      </c>
      <c r="V245" t="s">
        <v>3744</v>
      </c>
      <c r="W245" t="s">
        <v>3726</v>
      </c>
      <c r="X245" t="s">
        <v>3727</v>
      </c>
      <c r="Y245" t="s">
        <v>3728</v>
      </c>
      <c r="Z245" t="s">
        <v>3745</v>
      </c>
      <c r="AA245" t="s">
        <v>3730</v>
      </c>
      <c r="AB245" t="s">
        <v>3731</v>
      </c>
      <c r="AC245" t="s">
        <v>74</v>
      </c>
      <c r="AD245" t="s">
        <v>74</v>
      </c>
      <c r="AE245" t="s">
        <v>74</v>
      </c>
      <c r="AF245" t="s">
        <v>74</v>
      </c>
      <c r="AG245">
        <v>45</v>
      </c>
      <c r="AH245">
        <v>18</v>
      </c>
      <c r="AI245">
        <v>19</v>
      </c>
      <c r="AJ245">
        <v>0</v>
      </c>
      <c r="AK245">
        <v>10</v>
      </c>
      <c r="AL245" t="s">
        <v>3732</v>
      </c>
      <c r="AM245" t="s">
        <v>3733</v>
      </c>
      <c r="AN245" t="s">
        <v>3734</v>
      </c>
      <c r="AO245" t="s">
        <v>3735</v>
      </c>
      <c r="AP245" t="s">
        <v>74</v>
      </c>
      <c r="AQ245" t="s">
        <v>74</v>
      </c>
      <c r="AR245" t="s">
        <v>3736</v>
      </c>
      <c r="AS245" t="s">
        <v>3737</v>
      </c>
      <c r="AT245" t="s">
        <v>2584</v>
      </c>
      <c r="AU245">
        <v>2004</v>
      </c>
      <c r="AV245">
        <v>55</v>
      </c>
      <c r="AW245" t="s">
        <v>74</v>
      </c>
      <c r="AX245">
        <v>2</v>
      </c>
      <c r="AY245" t="s">
        <v>74</v>
      </c>
      <c r="AZ245" t="s">
        <v>74</v>
      </c>
      <c r="BA245" t="s">
        <v>74</v>
      </c>
      <c r="BB245">
        <v>145</v>
      </c>
      <c r="BC245">
        <v>158</v>
      </c>
      <c r="BD245" t="s">
        <v>74</v>
      </c>
      <c r="BE245" t="s">
        <v>3746</v>
      </c>
      <c r="BF245" t="str">
        <f>HYPERLINK("http://dx.doi.org/10.1144/pygs.55.2.145","http://dx.doi.org/10.1144/pygs.55.2.145")</f>
        <v>http://dx.doi.org/10.1144/pygs.55.2.145</v>
      </c>
      <c r="BG245" t="s">
        <v>74</v>
      </c>
      <c r="BH245" t="s">
        <v>74</v>
      </c>
      <c r="BI245">
        <v>14</v>
      </c>
      <c r="BJ245" t="s">
        <v>249</v>
      </c>
      <c r="BK245" t="s">
        <v>139</v>
      </c>
      <c r="BL245" t="s">
        <v>249</v>
      </c>
      <c r="BM245" t="s">
        <v>3739</v>
      </c>
      <c r="BN245" t="s">
        <v>74</v>
      </c>
      <c r="BO245" t="s">
        <v>74</v>
      </c>
      <c r="BP245" t="s">
        <v>74</v>
      </c>
      <c r="BQ245" t="s">
        <v>74</v>
      </c>
      <c r="BR245" t="s">
        <v>98</v>
      </c>
      <c r="BS245" t="s">
        <v>3747</v>
      </c>
      <c r="BT245" t="str">
        <f>HYPERLINK("https%3A%2F%2Fwww.webofscience.com%2Fwos%2Fwoscc%2Ffull-record%2FWOS:000226715300005","View Full Record in Web of Science")</f>
        <v>View Full Record in Web of Science</v>
      </c>
    </row>
    <row r="246" spans="1:72" x14ac:dyDescent="0.15">
      <c r="A246" t="s">
        <v>122</v>
      </c>
      <c r="B246" t="s">
        <v>3748</v>
      </c>
      <c r="C246" t="s">
        <v>74</v>
      </c>
      <c r="D246" t="s">
        <v>74</v>
      </c>
      <c r="E246" t="s">
        <v>74</v>
      </c>
      <c r="F246" t="s">
        <v>3748</v>
      </c>
      <c r="G246" t="s">
        <v>74</v>
      </c>
      <c r="H246" t="s">
        <v>74</v>
      </c>
      <c r="I246" t="s">
        <v>3749</v>
      </c>
      <c r="J246" t="s">
        <v>3750</v>
      </c>
      <c r="K246" t="s">
        <v>74</v>
      </c>
      <c r="L246" t="s">
        <v>74</v>
      </c>
      <c r="M246" t="s">
        <v>79</v>
      </c>
      <c r="N246" t="s">
        <v>126</v>
      </c>
      <c r="O246" t="s">
        <v>74</v>
      </c>
      <c r="P246" t="s">
        <v>74</v>
      </c>
      <c r="Q246" t="s">
        <v>74</v>
      </c>
      <c r="R246" t="s">
        <v>74</v>
      </c>
      <c r="S246" t="s">
        <v>74</v>
      </c>
      <c r="T246" t="s">
        <v>3751</v>
      </c>
      <c r="U246" t="s">
        <v>3752</v>
      </c>
      <c r="V246" t="s">
        <v>3753</v>
      </c>
      <c r="W246" t="s">
        <v>3754</v>
      </c>
      <c r="X246" t="s">
        <v>3755</v>
      </c>
      <c r="Y246" t="s">
        <v>3756</v>
      </c>
      <c r="Z246" t="s">
        <v>3757</v>
      </c>
      <c r="AA246" t="s">
        <v>3758</v>
      </c>
      <c r="AB246" t="s">
        <v>3759</v>
      </c>
      <c r="AC246" t="s">
        <v>74</v>
      </c>
      <c r="AD246" t="s">
        <v>74</v>
      </c>
      <c r="AE246" t="s">
        <v>74</v>
      </c>
      <c r="AF246" t="s">
        <v>74</v>
      </c>
      <c r="AG246">
        <v>55</v>
      </c>
      <c r="AH246">
        <v>51</v>
      </c>
      <c r="AI246">
        <v>53</v>
      </c>
      <c r="AJ246">
        <v>1</v>
      </c>
      <c r="AK246">
        <v>18</v>
      </c>
      <c r="AL246" t="s">
        <v>3760</v>
      </c>
      <c r="AM246" t="s">
        <v>3761</v>
      </c>
      <c r="AN246" t="s">
        <v>3762</v>
      </c>
      <c r="AO246" t="s">
        <v>3763</v>
      </c>
      <c r="AP246" t="s">
        <v>74</v>
      </c>
      <c r="AQ246" t="s">
        <v>74</v>
      </c>
      <c r="AR246" t="s">
        <v>3764</v>
      </c>
      <c r="AS246" t="s">
        <v>3765</v>
      </c>
      <c r="AT246" t="s">
        <v>2584</v>
      </c>
      <c r="AU246">
        <v>2004</v>
      </c>
      <c r="AV246">
        <v>62</v>
      </c>
      <c r="AW246">
        <v>3</v>
      </c>
      <c r="AX246" t="s">
        <v>74</v>
      </c>
      <c r="AY246" t="s">
        <v>74</v>
      </c>
      <c r="AZ246" t="s">
        <v>74</v>
      </c>
      <c r="BA246" t="s">
        <v>74</v>
      </c>
      <c r="BB246">
        <v>267</v>
      </c>
      <c r="BC246">
        <v>279</v>
      </c>
      <c r="BD246" t="s">
        <v>74</v>
      </c>
      <c r="BE246" t="s">
        <v>3766</v>
      </c>
      <c r="BF246" t="str">
        <f>HYPERLINK("http://dx.doi.org/10.1016/j.yqres.2004.09.003","http://dx.doi.org/10.1016/j.yqres.2004.09.003")</f>
        <v>http://dx.doi.org/10.1016/j.yqres.2004.09.003</v>
      </c>
      <c r="BG246" t="s">
        <v>74</v>
      </c>
      <c r="BH246" t="s">
        <v>74</v>
      </c>
      <c r="BI246">
        <v>13</v>
      </c>
      <c r="BJ246" t="s">
        <v>3767</v>
      </c>
      <c r="BK246" t="s">
        <v>139</v>
      </c>
      <c r="BL246" t="s">
        <v>3768</v>
      </c>
      <c r="BM246" t="s">
        <v>3769</v>
      </c>
      <c r="BN246" t="s">
        <v>74</v>
      </c>
      <c r="BO246" t="s">
        <v>74</v>
      </c>
      <c r="BP246" t="s">
        <v>74</v>
      </c>
      <c r="BQ246" t="s">
        <v>74</v>
      </c>
      <c r="BR246" t="s">
        <v>98</v>
      </c>
      <c r="BS246" t="s">
        <v>3770</v>
      </c>
      <c r="BT246" t="str">
        <f>HYPERLINK("https%3A%2F%2Fwww.webofscience.com%2Fwos%2Fwoscc%2Ffull-record%2FWOS:000225358300004","View Full Record in Web of Science")</f>
        <v>View Full Record in Web of Science</v>
      </c>
    </row>
    <row r="247" spans="1:72" x14ac:dyDescent="0.15">
      <c r="A247" t="s">
        <v>122</v>
      </c>
      <c r="B247" t="s">
        <v>3771</v>
      </c>
      <c r="C247" t="s">
        <v>74</v>
      </c>
      <c r="D247" t="s">
        <v>74</v>
      </c>
      <c r="E247" t="s">
        <v>74</v>
      </c>
      <c r="F247" t="s">
        <v>3771</v>
      </c>
      <c r="G247" t="s">
        <v>74</v>
      </c>
      <c r="H247" t="s">
        <v>74</v>
      </c>
      <c r="I247" t="s">
        <v>3772</v>
      </c>
      <c r="J247" t="s">
        <v>3773</v>
      </c>
      <c r="K247" t="s">
        <v>74</v>
      </c>
      <c r="L247" t="s">
        <v>74</v>
      </c>
      <c r="M247" t="s">
        <v>79</v>
      </c>
      <c r="N247" t="s">
        <v>126</v>
      </c>
      <c r="O247" t="s">
        <v>74</v>
      </c>
      <c r="P247" t="s">
        <v>74</v>
      </c>
      <c r="Q247" t="s">
        <v>74</v>
      </c>
      <c r="R247" t="s">
        <v>74</v>
      </c>
      <c r="S247" t="s">
        <v>74</v>
      </c>
      <c r="T247" t="s">
        <v>74</v>
      </c>
      <c r="U247" t="s">
        <v>3774</v>
      </c>
      <c r="V247" t="s">
        <v>3775</v>
      </c>
      <c r="W247" t="s">
        <v>3776</v>
      </c>
      <c r="X247" t="s">
        <v>3777</v>
      </c>
      <c r="Y247" t="s">
        <v>3778</v>
      </c>
      <c r="Z247" t="s">
        <v>3779</v>
      </c>
      <c r="AA247" t="s">
        <v>3780</v>
      </c>
      <c r="AB247" t="s">
        <v>3781</v>
      </c>
      <c r="AC247" t="s">
        <v>74</v>
      </c>
      <c r="AD247" t="s">
        <v>74</v>
      </c>
      <c r="AE247" t="s">
        <v>74</v>
      </c>
      <c r="AF247" t="s">
        <v>74</v>
      </c>
      <c r="AG247">
        <v>64</v>
      </c>
      <c r="AH247">
        <v>2</v>
      </c>
      <c r="AI247">
        <v>3</v>
      </c>
      <c r="AJ247">
        <v>0</v>
      </c>
      <c r="AK247">
        <v>2</v>
      </c>
      <c r="AL247" t="s">
        <v>3782</v>
      </c>
      <c r="AM247" t="s">
        <v>3783</v>
      </c>
      <c r="AN247" t="s">
        <v>3784</v>
      </c>
      <c r="AO247" t="s">
        <v>3785</v>
      </c>
      <c r="AP247" t="s">
        <v>74</v>
      </c>
      <c r="AQ247" t="s">
        <v>74</v>
      </c>
      <c r="AR247" t="s">
        <v>3786</v>
      </c>
      <c r="AS247" t="s">
        <v>3787</v>
      </c>
      <c r="AT247" t="s">
        <v>3205</v>
      </c>
      <c r="AU247">
        <v>2004</v>
      </c>
      <c r="AV247">
        <v>100</v>
      </c>
      <c r="AW247" t="s">
        <v>851</v>
      </c>
      <c r="AX247" t="s">
        <v>74</v>
      </c>
      <c r="AY247" t="s">
        <v>74</v>
      </c>
      <c r="AZ247" t="s">
        <v>74</v>
      </c>
      <c r="BA247" t="s">
        <v>74</v>
      </c>
      <c r="BB247">
        <v>571</v>
      </c>
      <c r="BC247">
        <v>577</v>
      </c>
      <c r="BD247" t="s">
        <v>74</v>
      </c>
      <c r="BE247" t="s">
        <v>74</v>
      </c>
      <c r="BF247" t="s">
        <v>74</v>
      </c>
      <c r="BG247" t="s">
        <v>74</v>
      </c>
      <c r="BH247" t="s">
        <v>74</v>
      </c>
      <c r="BI247">
        <v>7</v>
      </c>
      <c r="BJ247" t="s">
        <v>381</v>
      </c>
      <c r="BK247" t="s">
        <v>139</v>
      </c>
      <c r="BL247" t="s">
        <v>382</v>
      </c>
      <c r="BM247" t="s">
        <v>3788</v>
      </c>
      <c r="BN247" t="s">
        <v>74</v>
      </c>
      <c r="BO247" t="s">
        <v>74</v>
      </c>
      <c r="BP247" t="s">
        <v>74</v>
      </c>
      <c r="BQ247" t="s">
        <v>74</v>
      </c>
      <c r="BR247" t="s">
        <v>98</v>
      </c>
      <c r="BS247" t="s">
        <v>3789</v>
      </c>
      <c r="BT247" t="str">
        <f>HYPERLINK("https%3A%2F%2Fwww.webofscience.com%2Fwos%2Fwoscc%2Ffull-record%2FWOS:000228686900016","View Full Record in Web of Science")</f>
        <v>View Full Record in Web of Science</v>
      </c>
    </row>
    <row r="248" spans="1:72" x14ac:dyDescent="0.15">
      <c r="A248" t="s">
        <v>122</v>
      </c>
      <c r="B248" t="s">
        <v>3790</v>
      </c>
      <c r="C248" t="s">
        <v>74</v>
      </c>
      <c r="D248" t="s">
        <v>74</v>
      </c>
      <c r="E248" t="s">
        <v>74</v>
      </c>
      <c r="F248" t="s">
        <v>3790</v>
      </c>
      <c r="G248" t="s">
        <v>74</v>
      </c>
      <c r="H248" t="s">
        <v>74</v>
      </c>
      <c r="I248" t="s">
        <v>3791</v>
      </c>
      <c r="J248" t="s">
        <v>3792</v>
      </c>
      <c r="K248" t="s">
        <v>74</v>
      </c>
      <c r="L248" t="s">
        <v>74</v>
      </c>
      <c r="M248" t="s">
        <v>79</v>
      </c>
      <c r="N248" t="s">
        <v>126</v>
      </c>
      <c r="O248" t="s">
        <v>74</v>
      </c>
      <c r="P248" t="s">
        <v>74</v>
      </c>
      <c r="Q248" t="s">
        <v>74</v>
      </c>
      <c r="R248" t="s">
        <v>74</v>
      </c>
      <c r="S248" t="s">
        <v>74</v>
      </c>
      <c r="T248" t="s">
        <v>74</v>
      </c>
      <c r="U248" t="s">
        <v>74</v>
      </c>
      <c r="V248" t="s">
        <v>3793</v>
      </c>
      <c r="W248" t="s">
        <v>3794</v>
      </c>
      <c r="X248" t="s">
        <v>3795</v>
      </c>
      <c r="Y248" t="s">
        <v>2548</v>
      </c>
      <c r="Z248" t="s">
        <v>3796</v>
      </c>
      <c r="AA248" t="s">
        <v>74</v>
      </c>
      <c r="AB248" t="s">
        <v>74</v>
      </c>
      <c r="AC248" t="s">
        <v>74</v>
      </c>
      <c r="AD248" t="s">
        <v>74</v>
      </c>
      <c r="AE248" t="s">
        <v>74</v>
      </c>
      <c r="AF248" t="s">
        <v>74</v>
      </c>
      <c r="AG248">
        <v>6</v>
      </c>
      <c r="AH248">
        <v>42</v>
      </c>
      <c r="AI248">
        <v>47</v>
      </c>
      <c r="AJ248">
        <v>0</v>
      </c>
      <c r="AK248">
        <v>6</v>
      </c>
      <c r="AL248" t="s">
        <v>3797</v>
      </c>
      <c r="AM248" t="s">
        <v>197</v>
      </c>
      <c r="AN248" t="s">
        <v>3798</v>
      </c>
      <c r="AO248" t="s">
        <v>3799</v>
      </c>
      <c r="AP248" t="s">
        <v>3800</v>
      </c>
      <c r="AQ248" t="s">
        <v>74</v>
      </c>
      <c r="AR248" t="s">
        <v>3792</v>
      </c>
      <c r="AS248" t="s">
        <v>3801</v>
      </c>
      <c r="AT248" t="s">
        <v>2584</v>
      </c>
      <c r="AU248">
        <v>2004</v>
      </c>
      <c r="AV248">
        <v>20</v>
      </c>
      <c r="AW248">
        <v>4</v>
      </c>
      <c r="AX248" t="s">
        <v>74</v>
      </c>
      <c r="AY248" t="s">
        <v>74</v>
      </c>
      <c r="AZ248" t="s">
        <v>74</v>
      </c>
      <c r="BA248" t="s">
        <v>74</v>
      </c>
      <c r="BB248">
        <v>291</v>
      </c>
      <c r="BC248">
        <v>295</v>
      </c>
      <c r="BD248" t="s">
        <v>74</v>
      </c>
      <c r="BE248" t="s">
        <v>3802</v>
      </c>
      <c r="BF248" t="str">
        <f>HYPERLINK("http://dx.doi.org/10.1016/j.spacepol.2004.08.003","http://dx.doi.org/10.1016/j.spacepol.2004.08.003")</f>
        <v>http://dx.doi.org/10.1016/j.spacepol.2004.08.003</v>
      </c>
      <c r="BG248" t="s">
        <v>74</v>
      </c>
      <c r="BH248" t="s">
        <v>74</v>
      </c>
      <c r="BI248">
        <v>5</v>
      </c>
      <c r="BJ248" t="s">
        <v>3803</v>
      </c>
      <c r="BK248" t="s">
        <v>3432</v>
      </c>
      <c r="BL248" t="s">
        <v>3804</v>
      </c>
      <c r="BM248" t="s">
        <v>3805</v>
      </c>
      <c r="BN248" t="s">
        <v>74</v>
      </c>
      <c r="BO248" t="s">
        <v>74</v>
      </c>
      <c r="BP248" t="s">
        <v>74</v>
      </c>
      <c r="BQ248" t="s">
        <v>74</v>
      </c>
      <c r="BR248" t="s">
        <v>98</v>
      </c>
      <c r="BS248" t="s">
        <v>3806</v>
      </c>
      <c r="BT248" t="str">
        <f>HYPERLINK("https%3A%2F%2Fwww.webofscience.com%2Fwos%2Fwoscc%2Ffull-record%2FWOS:000225609700006","View Full Record in Web of Science")</f>
        <v>View Full Record in Web of Science</v>
      </c>
    </row>
    <row r="249" spans="1:72" x14ac:dyDescent="0.15">
      <c r="A249" t="s">
        <v>122</v>
      </c>
      <c r="B249" t="s">
        <v>3807</v>
      </c>
      <c r="C249" t="s">
        <v>74</v>
      </c>
      <c r="D249" t="s">
        <v>74</v>
      </c>
      <c r="E249" t="s">
        <v>74</v>
      </c>
      <c r="F249" t="s">
        <v>3807</v>
      </c>
      <c r="G249" t="s">
        <v>74</v>
      </c>
      <c r="H249" t="s">
        <v>74</v>
      </c>
      <c r="I249" t="s">
        <v>3808</v>
      </c>
      <c r="J249" t="s">
        <v>3809</v>
      </c>
      <c r="K249" t="s">
        <v>74</v>
      </c>
      <c r="L249" t="s">
        <v>74</v>
      </c>
      <c r="M249" t="s">
        <v>79</v>
      </c>
      <c r="N249" t="s">
        <v>126</v>
      </c>
      <c r="O249" t="s">
        <v>74</v>
      </c>
      <c r="P249" t="s">
        <v>74</v>
      </c>
      <c r="Q249" t="s">
        <v>74</v>
      </c>
      <c r="R249" t="s">
        <v>74</v>
      </c>
      <c r="S249" t="s">
        <v>74</v>
      </c>
      <c r="T249" t="s">
        <v>3810</v>
      </c>
      <c r="U249" t="s">
        <v>3811</v>
      </c>
      <c r="V249" t="s">
        <v>3812</v>
      </c>
      <c r="W249" t="s">
        <v>3813</v>
      </c>
      <c r="X249" t="s">
        <v>3814</v>
      </c>
      <c r="Y249" t="s">
        <v>3815</v>
      </c>
      <c r="Z249" t="s">
        <v>3816</v>
      </c>
      <c r="AA249" t="s">
        <v>3817</v>
      </c>
      <c r="AB249" t="s">
        <v>3818</v>
      </c>
      <c r="AC249" t="s">
        <v>74</v>
      </c>
      <c r="AD249" t="s">
        <v>74</v>
      </c>
      <c r="AE249" t="s">
        <v>74</v>
      </c>
      <c r="AF249" t="s">
        <v>74</v>
      </c>
      <c r="AG249">
        <v>56</v>
      </c>
      <c r="AH249">
        <v>113</v>
      </c>
      <c r="AI249">
        <v>123</v>
      </c>
      <c r="AJ249">
        <v>1</v>
      </c>
      <c r="AK249">
        <v>29</v>
      </c>
      <c r="AL249" t="s">
        <v>3819</v>
      </c>
      <c r="AM249" t="s">
        <v>3820</v>
      </c>
      <c r="AN249" t="s">
        <v>3821</v>
      </c>
      <c r="AO249" t="s">
        <v>3822</v>
      </c>
      <c r="AP249" t="s">
        <v>74</v>
      </c>
      <c r="AQ249" t="s">
        <v>74</v>
      </c>
      <c r="AR249" t="s">
        <v>3823</v>
      </c>
      <c r="AS249" t="s">
        <v>3824</v>
      </c>
      <c r="AT249" t="s">
        <v>2584</v>
      </c>
      <c r="AU249">
        <v>2004</v>
      </c>
      <c r="AV249">
        <v>27</v>
      </c>
      <c r="AW249">
        <v>6</v>
      </c>
      <c r="AX249" t="s">
        <v>74</v>
      </c>
      <c r="AY249" t="s">
        <v>74</v>
      </c>
      <c r="AZ249" t="s">
        <v>74</v>
      </c>
      <c r="BA249" t="s">
        <v>74</v>
      </c>
      <c r="BB249">
        <v>636</v>
      </c>
      <c r="BC249">
        <v>645</v>
      </c>
      <c r="BD249" t="s">
        <v>74</v>
      </c>
      <c r="BE249" t="s">
        <v>3825</v>
      </c>
      <c r="BF249" t="str">
        <f>HYPERLINK("http://dx.doi.org/10.1078/0723202042370008","http://dx.doi.org/10.1078/0723202042370008")</f>
        <v>http://dx.doi.org/10.1078/0723202042370008</v>
      </c>
      <c r="BG249" t="s">
        <v>74</v>
      </c>
      <c r="BH249" t="s">
        <v>74</v>
      </c>
      <c r="BI249">
        <v>10</v>
      </c>
      <c r="BJ249" t="s">
        <v>1123</v>
      </c>
      <c r="BK249" t="s">
        <v>139</v>
      </c>
      <c r="BL249" t="s">
        <v>1123</v>
      </c>
      <c r="BM249" t="s">
        <v>3826</v>
      </c>
      <c r="BN249">
        <v>15612620</v>
      </c>
      <c r="BO249" t="s">
        <v>74</v>
      </c>
      <c r="BP249" t="s">
        <v>74</v>
      </c>
      <c r="BQ249" t="s">
        <v>74</v>
      </c>
      <c r="BR249" t="s">
        <v>98</v>
      </c>
      <c r="BS249" t="s">
        <v>3827</v>
      </c>
      <c r="BT249" t="str">
        <f>HYPERLINK("https%3A%2F%2Fwww.webofscience.com%2Fwos%2Fwoscc%2Ffull-record%2FWOS:000225647700003","View Full Record in Web of Science")</f>
        <v>View Full Record in Web of Science</v>
      </c>
    </row>
    <row r="250" spans="1:72" x14ac:dyDescent="0.15">
      <c r="A250" t="s">
        <v>122</v>
      </c>
      <c r="B250" t="s">
        <v>3828</v>
      </c>
      <c r="C250" t="s">
        <v>74</v>
      </c>
      <c r="D250" t="s">
        <v>74</v>
      </c>
      <c r="E250" t="s">
        <v>74</v>
      </c>
      <c r="F250" t="s">
        <v>3828</v>
      </c>
      <c r="G250" t="s">
        <v>74</v>
      </c>
      <c r="H250" t="s">
        <v>74</v>
      </c>
      <c r="I250" t="s">
        <v>3829</v>
      </c>
      <c r="J250" t="s">
        <v>3830</v>
      </c>
      <c r="K250" t="s">
        <v>74</v>
      </c>
      <c r="L250" t="s">
        <v>74</v>
      </c>
      <c r="M250" t="s">
        <v>79</v>
      </c>
      <c r="N250" t="s">
        <v>126</v>
      </c>
      <c r="O250" t="s">
        <v>74</v>
      </c>
      <c r="P250" t="s">
        <v>74</v>
      </c>
      <c r="Q250" t="s">
        <v>74</v>
      </c>
      <c r="R250" t="s">
        <v>74</v>
      </c>
      <c r="S250" t="s">
        <v>74</v>
      </c>
      <c r="T250" t="s">
        <v>74</v>
      </c>
      <c r="U250" t="s">
        <v>3831</v>
      </c>
      <c r="V250" t="s">
        <v>3832</v>
      </c>
      <c r="W250" t="s">
        <v>3833</v>
      </c>
      <c r="X250" t="s">
        <v>3834</v>
      </c>
      <c r="Y250" t="s">
        <v>3835</v>
      </c>
      <c r="Z250" t="s">
        <v>3836</v>
      </c>
      <c r="AA250" t="s">
        <v>3837</v>
      </c>
      <c r="AB250" t="s">
        <v>3838</v>
      </c>
      <c r="AC250" t="s">
        <v>74</v>
      </c>
      <c r="AD250" t="s">
        <v>74</v>
      </c>
      <c r="AE250" t="s">
        <v>74</v>
      </c>
      <c r="AF250" t="s">
        <v>74</v>
      </c>
      <c r="AG250">
        <v>35</v>
      </c>
      <c r="AH250">
        <v>181</v>
      </c>
      <c r="AI250">
        <v>217</v>
      </c>
      <c r="AJ250">
        <v>1</v>
      </c>
      <c r="AK250">
        <v>67</v>
      </c>
      <c r="AL250" t="s">
        <v>1644</v>
      </c>
      <c r="AM250" t="s">
        <v>1645</v>
      </c>
      <c r="AN250" t="s">
        <v>1646</v>
      </c>
      <c r="AO250" t="s">
        <v>3839</v>
      </c>
      <c r="AP250" t="s">
        <v>74</v>
      </c>
      <c r="AQ250" t="s">
        <v>74</v>
      </c>
      <c r="AR250" t="s">
        <v>3840</v>
      </c>
      <c r="AS250" t="s">
        <v>3841</v>
      </c>
      <c r="AT250" t="s">
        <v>2584</v>
      </c>
      <c r="AU250">
        <v>2004</v>
      </c>
      <c r="AV250">
        <v>56</v>
      </c>
      <c r="AW250">
        <v>5</v>
      </c>
      <c r="AX250" t="s">
        <v>74</v>
      </c>
      <c r="AY250" t="s">
        <v>74</v>
      </c>
      <c r="AZ250" t="s">
        <v>74</v>
      </c>
      <c r="BA250" t="s">
        <v>74</v>
      </c>
      <c r="BB250">
        <v>397</v>
      </c>
      <c r="BC250">
        <v>403</v>
      </c>
      <c r="BD250" t="s">
        <v>74</v>
      </c>
      <c r="BE250" t="s">
        <v>3842</v>
      </c>
      <c r="BF250" t="str">
        <f>HYPERLINK("http://dx.doi.org/10.1111/j.1600-0889.2004.00118.x","http://dx.doi.org/10.1111/j.1600-0889.2004.00118.x")</f>
        <v>http://dx.doi.org/10.1111/j.1600-0889.2004.00118.x</v>
      </c>
      <c r="BG250" t="s">
        <v>74</v>
      </c>
      <c r="BH250" t="s">
        <v>74</v>
      </c>
      <c r="BI250">
        <v>7</v>
      </c>
      <c r="BJ250" t="s">
        <v>291</v>
      </c>
      <c r="BK250" t="s">
        <v>139</v>
      </c>
      <c r="BL250" t="s">
        <v>291</v>
      </c>
      <c r="BM250" t="s">
        <v>3843</v>
      </c>
      <c r="BN250" t="s">
        <v>74</v>
      </c>
      <c r="BO250" t="s">
        <v>2236</v>
      </c>
      <c r="BP250" t="s">
        <v>74</v>
      </c>
      <c r="BQ250" t="s">
        <v>74</v>
      </c>
      <c r="BR250" t="s">
        <v>98</v>
      </c>
      <c r="BS250" t="s">
        <v>3844</v>
      </c>
      <c r="BT250" t="str">
        <f>HYPERLINK("https%3A%2F%2Fwww.webofscience.com%2Fwos%2Fwoscc%2Ffull-record%2FWOS:000225463000001","View Full Record in Web of Science")</f>
        <v>View Full Record in Web of Science</v>
      </c>
    </row>
    <row r="251" spans="1:72" x14ac:dyDescent="0.15">
      <c r="A251" t="s">
        <v>122</v>
      </c>
      <c r="B251" t="s">
        <v>3845</v>
      </c>
      <c r="C251" t="s">
        <v>74</v>
      </c>
      <c r="D251" t="s">
        <v>74</v>
      </c>
      <c r="E251" t="s">
        <v>74</v>
      </c>
      <c r="F251" t="s">
        <v>3845</v>
      </c>
      <c r="G251" t="s">
        <v>74</v>
      </c>
      <c r="H251" t="s">
        <v>74</v>
      </c>
      <c r="I251" t="s">
        <v>3846</v>
      </c>
      <c r="J251" t="s">
        <v>3830</v>
      </c>
      <c r="K251" t="s">
        <v>74</v>
      </c>
      <c r="L251" t="s">
        <v>74</v>
      </c>
      <c r="M251" t="s">
        <v>79</v>
      </c>
      <c r="N251" t="s">
        <v>126</v>
      </c>
      <c r="O251" t="s">
        <v>74</v>
      </c>
      <c r="P251" t="s">
        <v>74</v>
      </c>
      <c r="Q251" t="s">
        <v>74</v>
      </c>
      <c r="R251" t="s">
        <v>74</v>
      </c>
      <c r="S251" t="s">
        <v>74</v>
      </c>
      <c r="T251" t="s">
        <v>74</v>
      </c>
      <c r="U251" t="s">
        <v>3847</v>
      </c>
      <c r="V251" t="s">
        <v>3848</v>
      </c>
      <c r="W251" t="s">
        <v>3849</v>
      </c>
      <c r="X251" t="s">
        <v>3850</v>
      </c>
      <c r="Y251" t="s">
        <v>3851</v>
      </c>
      <c r="Z251" t="s">
        <v>3852</v>
      </c>
      <c r="AA251" t="s">
        <v>3853</v>
      </c>
      <c r="AB251" t="s">
        <v>3854</v>
      </c>
      <c r="AC251" t="s">
        <v>74</v>
      </c>
      <c r="AD251" t="s">
        <v>74</v>
      </c>
      <c r="AE251" t="s">
        <v>74</v>
      </c>
      <c r="AF251" t="s">
        <v>74</v>
      </c>
      <c r="AG251">
        <v>43</v>
      </c>
      <c r="AH251">
        <v>36</v>
      </c>
      <c r="AI251">
        <v>37</v>
      </c>
      <c r="AJ251">
        <v>2</v>
      </c>
      <c r="AK251">
        <v>27</v>
      </c>
      <c r="AL251" t="s">
        <v>1644</v>
      </c>
      <c r="AM251" t="s">
        <v>1645</v>
      </c>
      <c r="AN251" t="s">
        <v>1646</v>
      </c>
      <c r="AO251" t="s">
        <v>3839</v>
      </c>
      <c r="AP251" t="s">
        <v>74</v>
      </c>
      <c r="AQ251" t="s">
        <v>74</v>
      </c>
      <c r="AR251" t="s">
        <v>3840</v>
      </c>
      <c r="AS251" t="s">
        <v>3841</v>
      </c>
      <c r="AT251" t="s">
        <v>2584</v>
      </c>
      <c r="AU251">
        <v>2004</v>
      </c>
      <c r="AV251">
        <v>56</v>
      </c>
      <c r="AW251">
        <v>5</v>
      </c>
      <c r="AX251" t="s">
        <v>74</v>
      </c>
      <c r="AY251" t="s">
        <v>74</v>
      </c>
      <c r="AZ251" t="s">
        <v>74</v>
      </c>
      <c r="BA251" t="s">
        <v>74</v>
      </c>
      <c r="BB251">
        <v>492</v>
      </c>
      <c r="BC251">
        <v>498</v>
      </c>
      <c r="BD251" t="s">
        <v>74</v>
      </c>
      <c r="BE251" t="s">
        <v>3855</v>
      </c>
      <c r="BF251" t="str">
        <f>HYPERLINK("http://dx.doi.org/10.1111/j.1600-0889.2004.00109.x","http://dx.doi.org/10.1111/j.1600-0889.2004.00109.x")</f>
        <v>http://dx.doi.org/10.1111/j.1600-0889.2004.00109.x</v>
      </c>
      <c r="BG251" t="s">
        <v>74</v>
      </c>
      <c r="BH251" t="s">
        <v>74</v>
      </c>
      <c r="BI251">
        <v>7</v>
      </c>
      <c r="BJ251" t="s">
        <v>291</v>
      </c>
      <c r="BK251" t="s">
        <v>139</v>
      </c>
      <c r="BL251" t="s">
        <v>291</v>
      </c>
      <c r="BM251" t="s">
        <v>3843</v>
      </c>
      <c r="BN251" t="s">
        <v>74</v>
      </c>
      <c r="BO251" t="s">
        <v>329</v>
      </c>
      <c r="BP251" t="s">
        <v>74</v>
      </c>
      <c r="BQ251" t="s">
        <v>74</v>
      </c>
      <c r="BR251" t="s">
        <v>98</v>
      </c>
      <c r="BS251" t="s">
        <v>3856</v>
      </c>
      <c r="BT251" t="str">
        <f>HYPERLINK("https%3A%2F%2Fwww.webofscience.com%2Fwos%2Fwoscc%2Ffull-record%2FWOS:000225463000009","View Full Record in Web of Science")</f>
        <v>View Full Record in Web of Science</v>
      </c>
    </row>
    <row r="252" spans="1:72" x14ac:dyDescent="0.15">
      <c r="A252" t="s">
        <v>122</v>
      </c>
      <c r="B252" t="s">
        <v>3857</v>
      </c>
      <c r="C252" t="s">
        <v>74</v>
      </c>
      <c r="D252" t="s">
        <v>74</v>
      </c>
      <c r="E252" t="s">
        <v>74</v>
      </c>
      <c r="F252" t="s">
        <v>3857</v>
      </c>
      <c r="G252" t="s">
        <v>74</v>
      </c>
      <c r="H252" t="s">
        <v>74</v>
      </c>
      <c r="I252" t="s">
        <v>3858</v>
      </c>
      <c r="J252" t="s">
        <v>522</v>
      </c>
      <c r="K252" t="s">
        <v>74</v>
      </c>
      <c r="L252" t="s">
        <v>74</v>
      </c>
      <c r="M252" t="s">
        <v>79</v>
      </c>
      <c r="N252" t="s">
        <v>126</v>
      </c>
      <c r="O252" t="s">
        <v>74</v>
      </c>
      <c r="P252" t="s">
        <v>74</v>
      </c>
      <c r="Q252" t="s">
        <v>74</v>
      </c>
      <c r="R252" t="s">
        <v>74</v>
      </c>
      <c r="S252" t="s">
        <v>74</v>
      </c>
      <c r="T252" t="s">
        <v>3859</v>
      </c>
      <c r="U252" t="s">
        <v>3860</v>
      </c>
      <c r="V252" t="s">
        <v>3861</v>
      </c>
      <c r="W252" t="s">
        <v>3862</v>
      </c>
      <c r="X252" t="s">
        <v>3863</v>
      </c>
      <c r="Y252" t="s">
        <v>3864</v>
      </c>
      <c r="Z252" t="s">
        <v>3865</v>
      </c>
      <c r="AA252" t="s">
        <v>3866</v>
      </c>
      <c r="AB252" t="s">
        <v>3867</v>
      </c>
      <c r="AC252" t="s">
        <v>74</v>
      </c>
      <c r="AD252" t="s">
        <v>74</v>
      </c>
      <c r="AE252" t="s">
        <v>74</v>
      </c>
      <c r="AF252" t="s">
        <v>74</v>
      </c>
      <c r="AG252">
        <v>62</v>
      </c>
      <c r="AH252">
        <v>125</v>
      </c>
      <c r="AI252">
        <v>129</v>
      </c>
      <c r="AJ252">
        <v>1</v>
      </c>
      <c r="AK252">
        <v>25</v>
      </c>
      <c r="AL252" t="s">
        <v>531</v>
      </c>
      <c r="AM252" t="s">
        <v>532</v>
      </c>
      <c r="AN252" t="s">
        <v>533</v>
      </c>
      <c r="AO252" t="s">
        <v>534</v>
      </c>
      <c r="AP252" t="s">
        <v>535</v>
      </c>
      <c r="AQ252" t="s">
        <v>74</v>
      </c>
      <c r="AR252" t="s">
        <v>536</v>
      </c>
      <c r="AS252" t="s">
        <v>537</v>
      </c>
      <c r="AT252" t="s">
        <v>3868</v>
      </c>
      <c r="AU252">
        <v>2004</v>
      </c>
      <c r="AV252">
        <v>227</v>
      </c>
      <c r="AW252" t="s">
        <v>2537</v>
      </c>
      <c r="AX252" t="s">
        <v>74</v>
      </c>
      <c r="AY252" t="s">
        <v>74</v>
      </c>
      <c r="AZ252" t="s">
        <v>74</v>
      </c>
      <c r="BA252" t="s">
        <v>74</v>
      </c>
      <c r="BB252">
        <v>17</v>
      </c>
      <c r="BC252">
        <v>35</v>
      </c>
      <c r="BD252" t="s">
        <v>74</v>
      </c>
      <c r="BE252" t="s">
        <v>3869</v>
      </c>
      <c r="BF252" t="str">
        <f>HYPERLINK("http://dx.doi.org/10.1016/j.epsl.2004.08.016","http://dx.doi.org/10.1016/j.epsl.2004.08.016")</f>
        <v>http://dx.doi.org/10.1016/j.epsl.2004.08.016</v>
      </c>
      <c r="BG252" t="s">
        <v>74</v>
      </c>
      <c r="BH252" t="s">
        <v>74</v>
      </c>
      <c r="BI252">
        <v>19</v>
      </c>
      <c r="BJ252" t="s">
        <v>271</v>
      </c>
      <c r="BK252" t="s">
        <v>139</v>
      </c>
      <c r="BL252" t="s">
        <v>271</v>
      </c>
      <c r="BM252" t="s">
        <v>3870</v>
      </c>
      <c r="BN252" t="s">
        <v>74</v>
      </c>
      <c r="BO252" t="s">
        <v>74</v>
      </c>
      <c r="BP252" t="s">
        <v>74</v>
      </c>
      <c r="BQ252" t="s">
        <v>74</v>
      </c>
      <c r="BR252" t="s">
        <v>98</v>
      </c>
      <c r="BS252" t="s">
        <v>3871</v>
      </c>
      <c r="BT252" t="str">
        <f>HYPERLINK("https%3A%2F%2Fwww.webofscience.com%2Fwos%2Fwoscc%2Ffull-record%2FWOS:000224649200002","View Full Record in Web of Science")</f>
        <v>View Full Record in Web of Science</v>
      </c>
    </row>
    <row r="253" spans="1:72" x14ac:dyDescent="0.15">
      <c r="A253" t="s">
        <v>122</v>
      </c>
      <c r="B253" t="s">
        <v>3872</v>
      </c>
      <c r="C253" t="s">
        <v>74</v>
      </c>
      <c r="D253" t="s">
        <v>74</v>
      </c>
      <c r="E253" t="s">
        <v>74</v>
      </c>
      <c r="F253" t="s">
        <v>3872</v>
      </c>
      <c r="G253" t="s">
        <v>74</v>
      </c>
      <c r="H253" t="s">
        <v>74</v>
      </c>
      <c r="I253" t="s">
        <v>3873</v>
      </c>
      <c r="J253" t="s">
        <v>277</v>
      </c>
      <c r="K253" t="s">
        <v>74</v>
      </c>
      <c r="L253" t="s">
        <v>74</v>
      </c>
      <c r="M253" t="s">
        <v>79</v>
      </c>
      <c r="N253" t="s">
        <v>126</v>
      </c>
      <c r="O253" t="s">
        <v>74</v>
      </c>
      <c r="P253" t="s">
        <v>74</v>
      </c>
      <c r="Q253" t="s">
        <v>74</v>
      </c>
      <c r="R253" t="s">
        <v>74</v>
      </c>
      <c r="S253" t="s">
        <v>74</v>
      </c>
      <c r="T253" t="s">
        <v>3874</v>
      </c>
      <c r="U253" t="s">
        <v>3875</v>
      </c>
      <c r="V253" t="s">
        <v>3876</v>
      </c>
      <c r="W253" t="s">
        <v>3877</v>
      </c>
      <c r="X253" t="s">
        <v>3878</v>
      </c>
      <c r="Y253" t="s">
        <v>3879</v>
      </c>
      <c r="Z253" t="s">
        <v>3880</v>
      </c>
      <c r="AA253" t="s">
        <v>3881</v>
      </c>
      <c r="AB253" t="s">
        <v>3882</v>
      </c>
      <c r="AC253" t="s">
        <v>74</v>
      </c>
      <c r="AD253" t="s">
        <v>74</v>
      </c>
      <c r="AE253" t="s">
        <v>74</v>
      </c>
      <c r="AF253" t="s">
        <v>74</v>
      </c>
      <c r="AG253">
        <v>43</v>
      </c>
      <c r="AH253">
        <v>102</v>
      </c>
      <c r="AI253">
        <v>113</v>
      </c>
      <c r="AJ253">
        <v>1</v>
      </c>
      <c r="AK253">
        <v>33</v>
      </c>
      <c r="AL253" t="s">
        <v>239</v>
      </c>
      <c r="AM253" t="s">
        <v>240</v>
      </c>
      <c r="AN253" t="s">
        <v>241</v>
      </c>
      <c r="AO253" t="s">
        <v>284</v>
      </c>
      <c r="AP253" t="s">
        <v>74</v>
      </c>
      <c r="AQ253" t="s">
        <v>74</v>
      </c>
      <c r="AR253" t="s">
        <v>286</v>
      </c>
      <c r="AS253" t="s">
        <v>287</v>
      </c>
      <c r="AT253" t="s">
        <v>3868</v>
      </c>
      <c r="AU253">
        <v>2004</v>
      </c>
      <c r="AV253">
        <v>109</v>
      </c>
      <c r="AW253" t="s">
        <v>3883</v>
      </c>
      <c r="AX253" t="s">
        <v>74</v>
      </c>
      <c r="AY253" t="s">
        <v>74</v>
      </c>
      <c r="AZ253" t="s">
        <v>74</v>
      </c>
      <c r="BA253" t="s">
        <v>74</v>
      </c>
      <c r="BB253" t="s">
        <v>74</v>
      </c>
      <c r="BC253" t="s">
        <v>74</v>
      </c>
      <c r="BD253" t="s">
        <v>3884</v>
      </c>
      <c r="BE253" t="s">
        <v>3885</v>
      </c>
      <c r="BF253" t="str">
        <f>HYPERLINK("http://dx.doi.org/10.1029/2004JD004617","http://dx.doi.org/10.1029/2004JD004617")</f>
        <v>http://dx.doi.org/10.1029/2004JD004617</v>
      </c>
      <c r="BG253" t="s">
        <v>74</v>
      </c>
      <c r="BH253" t="s">
        <v>74</v>
      </c>
      <c r="BI253">
        <v>15</v>
      </c>
      <c r="BJ253" t="s">
        <v>291</v>
      </c>
      <c r="BK253" t="s">
        <v>139</v>
      </c>
      <c r="BL253" t="s">
        <v>291</v>
      </c>
      <c r="BM253" t="s">
        <v>3886</v>
      </c>
      <c r="BN253" t="s">
        <v>74</v>
      </c>
      <c r="BO253" t="s">
        <v>273</v>
      </c>
      <c r="BP253" t="s">
        <v>74</v>
      </c>
      <c r="BQ253" t="s">
        <v>74</v>
      </c>
      <c r="BR253" t="s">
        <v>98</v>
      </c>
      <c r="BS253" t="s">
        <v>3887</v>
      </c>
      <c r="BT253" t="str">
        <f>HYPERLINK("https%3A%2F%2Fwww.webofscience.com%2Fwos%2Fwoscc%2Ffull-record%2FWOS:000224882700001","View Full Record in Web of Science")</f>
        <v>View Full Record in Web of Science</v>
      </c>
    </row>
    <row r="254" spans="1:72" x14ac:dyDescent="0.15">
      <c r="A254" t="s">
        <v>122</v>
      </c>
      <c r="B254" t="s">
        <v>3888</v>
      </c>
      <c r="C254" t="s">
        <v>74</v>
      </c>
      <c r="D254" t="s">
        <v>74</v>
      </c>
      <c r="E254" t="s">
        <v>74</v>
      </c>
      <c r="F254" t="s">
        <v>3888</v>
      </c>
      <c r="G254" t="s">
        <v>74</v>
      </c>
      <c r="H254" t="s">
        <v>74</v>
      </c>
      <c r="I254" t="s">
        <v>3889</v>
      </c>
      <c r="J254" t="s">
        <v>3890</v>
      </c>
      <c r="K254" t="s">
        <v>74</v>
      </c>
      <c r="L254" t="s">
        <v>74</v>
      </c>
      <c r="M254" t="s">
        <v>79</v>
      </c>
      <c r="N254" t="s">
        <v>840</v>
      </c>
      <c r="O254" t="s">
        <v>74</v>
      </c>
      <c r="P254" t="s">
        <v>74</v>
      </c>
      <c r="Q254" t="s">
        <v>74</v>
      </c>
      <c r="R254" t="s">
        <v>74</v>
      </c>
      <c r="S254" t="s">
        <v>74</v>
      </c>
      <c r="T254" t="s">
        <v>74</v>
      </c>
      <c r="U254" t="s">
        <v>74</v>
      </c>
      <c r="V254" t="s">
        <v>74</v>
      </c>
      <c r="W254" t="s">
        <v>3891</v>
      </c>
      <c r="X254" t="s">
        <v>74</v>
      </c>
      <c r="Y254" t="s">
        <v>3892</v>
      </c>
      <c r="Z254" t="s">
        <v>74</v>
      </c>
      <c r="AA254" t="s">
        <v>74</v>
      </c>
      <c r="AB254" t="s">
        <v>74</v>
      </c>
      <c r="AC254" t="s">
        <v>74</v>
      </c>
      <c r="AD254" t="s">
        <v>74</v>
      </c>
      <c r="AE254" t="s">
        <v>74</v>
      </c>
      <c r="AF254" t="s">
        <v>74</v>
      </c>
      <c r="AG254">
        <v>0</v>
      </c>
      <c r="AH254">
        <v>1</v>
      </c>
      <c r="AI254">
        <v>2</v>
      </c>
      <c r="AJ254">
        <v>0</v>
      </c>
      <c r="AK254">
        <v>2</v>
      </c>
      <c r="AL254" t="s">
        <v>3893</v>
      </c>
      <c r="AM254" t="s">
        <v>240</v>
      </c>
      <c r="AN254" t="s">
        <v>3894</v>
      </c>
      <c r="AO254" t="s">
        <v>3895</v>
      </c>
      <c r="AP254" t="s">
        <v>74</v>
      </c>
      <c r="AQ254" t="s">
        <v>74</v>
      </c>
      <c r="AR254" t="s">
        <v>3890</v>
      </c>
      <c r="AS254" t="s">
        <v>3896</v>
      </c>
      <c r="AT254" t="s">
        <v>3897</v>
      </c>
      <c r="AU254">
        <v>2004</v>
      </c>
      <c r="AV254">
        <v>306</v>
      </c>
      <c r="AW254">
        <v>5697</v>
      </c>
      <c r="AX254" t="s">
        <v>74</v>
      </c>
      <c r="AY254" t="s">
        <v>74</v>
      </c>
      <c r="AZ254" t="s">
        <v>74</v>
      </c>
      <c r="BA254" t="s">
        <v>74</v>
      </c>
      <c r="BB254">
        <v>803</v>
      </c>
      <c r="BC254">
        <v>804</v>
      </c>
      <c r="BD254" t="s">
        <v>74</v>
      </c>
      <c r="BE254" t="s">
        <v>3898</v>
      </c>
      <c r="BF254" t="str">
        <f>HYPERLINK("http://dx.doi.org/10.1126/science.306.5697.803","http://dx.doi.org/10.1126/science.306.5697.803")</f>
        <v>http://dx.doi.org/10.1126/science.306.5697.803</v>
      </c>
      <c r="BG254" t="s">
        <v>74</v>
      </c>
      <c r="BH254" t="s">
        <v>74</v>
      </c>
      <c r="BI254">
        <v>2</v>
      </c>
      <c r="BJ254" t="s">
        <v>381</v>
      </c>
      <c r="BK254" t="s">
        <v>139</v>
      </c>
      <c r="BL254" t="s">
        <v>382</v>
      </c>
      <c r="BM254" t="s">
        <v>3899</v>
      </c>
      <c r="BN254">
        <v>15514131</v>
      </c>
      <c r="BO254" t="s">
        <v>74</v>
      </c>
      <c r="BP254" t="s">
        <v>74</v>
      </c>
      <c r="BQ254" t="s">
        <v>74</v>
      </c>
      <c r="BR254" t="s">
        <v>98</v>
      </c>
      <c r="BS254" t="s">
        <v>3900</v>
      </c>
      <c r="BT254" t="str">
        <f>HYPERLINK("https%3A%2F%2Fwww.webofscience.com%2Fwos%2Fwoscc%2Ffull-record%2FWOS:000224969400014","View Full Record in Web of Science")</f>
        <v>View Full Record in Web of Science</v>
      </c>
    </row>
    <row r="255" spans="1:72" x14ac:dyDescent="0.15">
      <c r="A255" t="s">
        <v>122</v>
      </c>
      <c r="B255" t="s">
        <v>3901</v>
      </c>
      <c r="C255" t="s">
        <v>74</v>
      </c>
      <c r="D255" t="s">
        <v>74</v>
      </c>
      <c r="E255" t="s">
        <v>74</v>
      </c>
      <c r="F255" t="s">
        <v>3901</v>
      </c>
      <c r="G255" t="s">
        <v>74</v>
      </c>
      <c r="H255" t="s">
        <v>74</v>
      </c>
      <c r="I255" t="s">
        <v>3902</v>
      </c>
      <c r="J255" t="s">
        <v>3890</v>
      </c>
      <c r="K255" t="s">
        <v>74</v>
      </c>
      <c r="L255" t="s">
        <v>74</v>
      </c>
      <c r="M255" t="s">
        <v>79</v>
      </c>
      <c r="N255" t="s">
        <v>126</v>
      </c>
      <c r="O255" t="s">
        <v>74</v>
      </c>
      <c r="P255" t="s">
        <v>74</v>
      </c>
      <c r="Q255" t="s">
        <v>74</v>
      </c>
      <c r="R255" t="s">
        <v>74</v>
      </c>
      <c r="S255" t="s">
        <v>74</v>
      </c>
      <c r="T255" t="s">
        <v>74</v>
      </c>
      <c r="U255" t="s">
        <v>74</v>
      </c>
      <c r="V255" t="s">
        <v>74</v>
      </c>
      <c r="W255" t="s">
        <v>3903</v>
      </c>
      <c r="X255" t="s">
        <v>3904</v>
      </c>
      <c r="Y255" t="s">
        <v>3905</v>
      </c>
      <c r="Z255" t="s">
        <v>3906</v>
      </c>
      <c r="AA255" t="s">
        <v>3907</v>
      </c>
      <c r="AB255" t="s">
        <v>3908</v>
      </c>
      <c r="AC255" t="s">
        <v>74</v>
      </c>
      <c r="AD255" t="s">
        <v>74</v>
      </c>
      <c r="AE255" t="s">
        <v>74</v>
      </c>
      <c r="AF255" t="s">
        <v>74</v>
      </c>
      <c r="AG255">
        <v>6</v>
      </c>
      <c r="AH255">
        <v>200</v>
      </c>
      <c r="AI255">
        <v>215</v>
      </c>
      <c r="AJ255">
        <v>87</v>
      </c>
      <c r="AK255">
        <v>1628</v>
      </c>
      <c r="AL255" t="s">
        <v>3893</v>
      </c>
      <c r="AM255" t="s">
        <v>240</v>
      </c>
      <c r="AN255" t="s">
        <v>3894</v>
      </c>
      <c r="AO255" t="s">
        <v>3895</v>
      </c>
      <c r="AP255" t="s">
        <v>3909</v>
      </c>
      <c r="AQ255" t="s">
        <v>74</v>
      </c>
      <c r="AR255" t="s">
        <v>3890</v>
      </c>
      <c r="AS255" t="s">
        <v>3896</v>
      </c>
      <c r="AT255" t="s">
        <v>3897</v>
      </c>
      <c r="AU255">
        <v>2004</v>
      </c>
      <c r="AV255">
        <v>306</v>
      </c>
      <c r="AW255">
        <v>5697</v>
      </c>
      <c r="AX255" t="s">
        <v>74</v>
      </c>
      <c r="AY255" t="s">
        <v>74</v>
      </c>
      <c r="AZ255" t="s">
        <v>74</v>
      </c>
      <c r="BA255" t="s">
        <v>74</v>
      </c>
      <c r="BB255">
        <v>835</v>
      </c>
      <c r="BC255">
        <v>835</v>
      </c>
      <c r="BD255" t="s">
        <v>74</v>
      </c>
      <c r="BE255" t="s">
        <v>3910</v>
      </c>
      <c r="BF255" t="str">
        <f>HYPERLINK("http://dx.doi.org/10.1126/science.1103001","http://dx.doi.org/10.1126/science.1103001")</f>
        <v>http://dx.doi.org/10.1126/science.1103001</v>
      </c>
      <c r="BG255" t="s">
        <v>74</v>
      </c>
      <c r="BH255" t="s">
        <v>74</v>
      </c>
      <c r="BI255">
        <v>1</v>
      </c>
      <c r="BJ255" t="s">
        <v>381</v>
      </c>
      <c r="BK255" t="s">
        <v>139</v>
      </c>
      <c r="BL255" t="s">
        <v>382</v>
      </c>
      <c r="BM255" t="s">
        <v>3899</v>
      </c>
      <c r="BN255">
        <v>15514149</v>
      </c>
      <c r="BO255" t="s">
        <v>74</v>
      </c>
      <c r="BP255" t="s">
        <v>74</v>
      </c>
      <c r="BQ255" t="s">
        <v>74</v>
      </c>
      <c r="BR255" t="s">
        <v>98</v>
      </c>
      <c r="BS255" t="s">
        <v>3911</v>
      </c>
      <c r="BT255" t="str">
        <f>HYPERLINK("https%3A%2F%2Fwww.webofscience.com%2Fwos%2Fwoscc%2Ffull-record%2FWOS:000224969400036","View Full Record in Web of Science")</f>
        <v>View Full Record in Web of Science</v>
      </c>
    </row>
    <row r="256" spans="1:72" x14ac:dyDescent="0.15">
      <c r="A256" t="s">
        <v>122</v>
      </c>
      <c r="B256" t="s">
        <v>3912</v>
      </c>
      <c r="C256" t="s">
        <v>74</v>
      </c>
      <c r="D256" t="s">
        <v>74</v>
      </c>
      <c r="E256" t="s">
        <v>74</v>
      </c>
      <c r="F256" t="s">
        <v>3912</v>
      </c>
      <c r="G256" t="s">
        <v>74</v>
      </c>
      <c r="H256" t="s">
        <v>74</v>
      </c>
      <c r="I256" t="s">
        <v>3913</v>
      </c>
      <c r="J256" t="s">
        <v>230</v>
      </c>
      <c r="K256" t="s">
        <v>74</v>
      </c>
      <c r="L256" t="s">
        <v>74</v>
      </c>
      <c r="M256" t="s">
        <v>79</v>
      </c>
      <c r="N256" t="s">
        <v>126</v>
      </c>
      <c r="O256" t="s">
        <v>74</v>
      </c>
      <c r="P256" t="s">
        <v>74</v>
      </c>
      <c r="Q256" t="s">
        <v>74</v>
      </c>
      <c r="R256" t="s">
        <v>74</v>
      </c>
      <c r="S256" t="s">
        <v>74</v>
      </c>
      <c r="T256" t="s">
        <v>74</v>
      </c>
      <c r="U256" t="s">
        <v>3914</v>
      </c>
      <c r="V256" t="s">
        <v>3915</v>
      </c>
      <c r="W256" t="s">
        <v>3916</v>
      </c>
      <c r="X256" t="s">
        <v>3917</v>
      </c>
      <c r="Y256" t="s">
        <v>3918</v>
      </c>
      <c r="Z256" t="s">
        <v>3919</v>
      </c>
      <c r="AA256" t="s">
        <v>3920</v>
      </c>
      <c r="AB256" t="s">
        <v>3921</v>
      </c>
      <c r="AC256" t="s">
        <v>74</v>
      </c>
      <c r="AD256" t="s">
        <v>74</v>
      </c>
      <c r="AE256" t="s">
        <v>74</v>
      </c>
      <c r="AF256" t="s">
        <v>74</v>
      </c>
      <c r="AG256">
        <v>19</v>
      </c>
      <c r="AH256">
        <v>15</v>
      </c>
      <c r="AI256">
        <v>17</v>
      </c>
      <c r="AJ256">
        <v>0</v>
      </c>
      <c r="AK256">
        <v>4</v>
      </c>
      <c r="AL256" t="s">
        <v>239</v>
      </c>
      <c r="AM256" t="s">
        <v>240</v>
      </c>
      <c r="AN256" t="s">
        <v>241</v>
      </c>
      <c r="AO256" t="s">
        <v>242</v>
      </c>
      <c r="AP256" t="s">
        <v>341</v>
      </c>
      <c r="AQ256" t="s">
        <v>74</v>
      </c>
      <c r="AR256" t="s">
        <v>243</v>
      </c>
      <c r="AS256" t="s">
        <v>244</v>
      </c>
      <c r="AT256" t="s">
        <v>3922</v>
      </c>
      <c r="AU256">
        <v>2004</v>
      </c>
      <c r="AV256">
        <v>31</v>
      </c>
      <c r="AW256">
        <v>20</v>
      </c>
      <c r="AX256" t="s">
        <v>74</v>
      </c>
      <c r="AY256" t="s">
        <v>74</v>
      </c>
      <c r="AZ256" t="s">
        <v>74</v>
      </c>
      <c r="BA256" t="s">
        <v>74</v>
      </c>
      <c r="BB256" t="s">
        <v>74</v>
      </c>
      <c r="BC256" t="s">
        <v>74</v>
      </c>
      <c r="BD256" t="s">
        <v>3923</v>
      </c>
      <c r="BE256" t="s">
        <v>3924</v>
      </c>
      <c r="BF256" t="str">
        <f>HYPERLINK("http://dx.doi.org/10.1029/2004GL021075","http://dx.doi.org/10.1029/2004GL021075")</f>
        <v>http://dx.doi.org/10.1029/2004GL021075</v>
      </c>
      <c r="BG256" t="s">
        <v>74</v>
      </c>
      <c r="BH256" t="s">
        <v>74</v>
      </c>
      <c r="BI256">
        <v>4</v>
      </c>
      <c r="BJ256" t="s">
        <v>248</v>
      </c>
      <c r="BK256" t="s">
        <v>139</v>
      </c>
      <c r="BL256" t="s">
        <v>249</v>
      </c>
      <c r="BM256" t="s">
        <v>3925</v>
      </c>
      <c r="BN256" t="s">
        <v>74</v>
      </c>
      <c r="BO256" t="s">
        <v>273</v>
      </c>
      <c r="BP256" t="s">
        <v>74</v>
      </c>
      <c r="BQ256" t="s">
        <v>74</v>
      </c>
      <c r="BR256" t="s">
        <v>98</v>
      </c>
      <c r="BS256" t="s">
        <v>3926</v>
      </c>
      <c r="BT256" t="str">
        <f>HYPERLINK("https%3A%2F%2Fwww.webofscience.com%2Fwos%2Fwoscc%2Ffull-record%2FWOS:000224881200004","View Full Record in Web of Science")</f>
        <v>View Full Record in Web of Science</v>
      </c>
    </row>
    <row r="257" spans="1:72" x14ac:dyDescent="0.15">
      <c r="A257" t="s">
        <v>122</v>
      </c>
      <c r="B257" t="s">
        <v>3927</v>
      </c>
      <c r="C257" t="s">
        <v>74</v>
      </c>
      <c r="D257" t="s">
        <v>74</v>
      </c>
      <c r="E257" t="s">
        <v>74</v>
      </c>
      <c r="F257" t="s">
        <v>3927</v>
      </c>
      <c r="G257" t="s">
        <v>74</v>
      </c>
      <c r="H257" t="s">
        <v>74</v>
      </c>
      <c r="I257" t="s">
        <v>3928</v>
      </c>
      <c r="J257" t="s">
        <v>3929</v>
      </c>
      <c r="K257" t="s">
        <v>74</v>
      </c>
      <c r="L257" t="s">
        <v>74</v>
      </c>
      <c r="M257" t="s">
        <v>79</v>
      </c>
      <c r="N257" t="s">
        <v>126</v>
      </c>
      <c r="O257" t="s">
        <v>74</v>
      </c>
      <c r="P257" t="s">
        <v>74</v>
      </c>
      <c r="Q257" t="s">
        <v>74</v>
      </c>
      <c r="R257" t="s">
        <v>74</v>
      </c>
      <c r="S257" t="s">
        <v>74</v>
      </c>
      <c r="T257" t="s">
        <v>3930</v>
      </c>
      <c r="U257" t="s">
        <v>3931</v>
      </c>
      <c r="V257" t="s">
        <v>3932</v>
      </c>
      <c r="W257" t="s">
        <v>3933</v>
      </c>
      <c r="X257" t="s">
        <v>3934</v>
      </c>
      <c r="Y257" t="s">
        <v>3935</v>
      </c>
      <c r="Z257" t="s">
        <v>3936</v>
      </c>
      <c r="AA257" t="s">
        <v>74</v>
      </c>
      <c r="AB257" t="s">
        <v>74</v>
      </c>
      <c r="AC257" t="s">
        <v>74</v>
      </c>
      <c r="AD257" t="s">
        <v>74</v>
      </c>
      <c r="AE257" t="s">
        <v>74</v>
      </c>
      <c r="AF257" t="s">
        <v>74</v>
      </c>
      <c r="AG257">
        <v>45</v>
      </c>
      <c r="AH257">
        <v>13</v>
      </c>
      <c r="AI257">
        <v>15</v>
      </c>
      <c r="AJ257">
        <v>1</v>
      </c>
      <c r="AK257">
        <v>33</v>
      </c>
      <c r="AL257" t="s">
        <v>531</v>
      </c>
      <c r="AM257" t="s">
        <v>532</v>
      </c>
      <c r="AN257" t="s">
        <v>533</v>
      </c>
      <c r="AO257" t="s">
        <v>3937</v>
      </c>
      <c r="AP257" t="s">
        <v>3938</v>
      </c>
      <c r="AQ257" t="s">
        <v>74</v>
      </c>
      <c r="AR257" t="s">
        <v>3939</v>
      </c>
      <c r="AS257" t="s">
        <v>3940</v>
      </c>
      <c r="AT257" t="s">
        <v>3922</v>
      </c>
      <c r="AU257">
        <v>2004</v>
      </c>
      <c r="AV257">
        <v>310</v>
      </c>
      <c r="AW257">
        <v>2</v>
      </c>
      <c r="AX257" t="s">
        <v>74</v>
      </c>
      <c r="AY257" t="s">
        <v>74</v>
      </c>
      <c r="AZ257" t="s">
        <v>74</v>
      </c>
      <c r="BA257" t="s">
        <v>74</v>
      </c>
      <c r="BB257">
        <v>131</v>
      </c>
      <c r="BC257">
        <v>146</v>
      </c>
      <c r="BD257" t="s">
        <v>74</v>
      </c>
      <c r="BE257" t="s">
        <v>3941</v>
      </c>
      <c r="BF257" t="str">
        <f>HYPERLINK("http://dx.doi.org/10.1016/j.jembe.2004.03.023","http://dx.doi.org/10.1016/j.jembe.2004.03.023")</f>
        <v>http://dx.doi.org/10.1016/j.jembe.2004.03.023</v>
      </c>
      <c r="BG257" t="s">
        <v>74</v>
      </c>
      <c r="BH257" t="s">
        <v>74</v>
      </c>
      <c r="BI257">
        <v>16</v>
      </c>
      <c r="BJ257" t="s">
        <v>3942</v>
      </c>
      <c r="BK257" t="s">
        <v>139</v>
      </c>
      <c r="BL257" t="s">
        <v>1797</v>
      </c>
      <c r="BM257" t="s">
        <v>3943</v>
      </c>
      <c r="BN257" t="s">
        <v>74</v>
      </c>
      <c r="BO257" t="s">
        <v>74</v>
      </c>
      <c r="BP257" t="s">
        <v>74</v>
      </c>
      <c r="BQ257" t="s">
        <v>74</v>
      </c>
      <c r="BR257" t="s">
        <v>98</v>
      </c>
      <c r="BS257" t="s">
        <v>3944</v>
      </c>
      <c r="BT257" t="str">
        <f>HYPERLINK("https%3A%2F%2Fwww.webofscience.com%2Fwos%2Fwoscc%2Ffull-record%2FWOS:000223841900001","View Full Record in Web of Science")</f>
        <v>View Full Record in Web of Science</v>
      </c>
    </row>
    <row r="258" spans="1:72" x14ac:dyDescent="0.15">
      <c r="A258" t="s">
        <v>122</v>
      </c>
      <c r="B258" t="s">
        <v>3945</v>
      </c>
      <c r="C258" t="s">
        <v>74</v>
      </c>
      <c r="D258" t="s">
        <v>74</v>
      </c>
      <c r="E258" t="s">
        <v>74</v>
      </c>
      <c r="F258" t="s">
        <v>3945</v>
      </c>
      <c r="G258" t="s">
        <v>74</v>
      </c>
      <c r="H258" t="s">
        <v>74</v>
      </c>
      <c r="I258" t="s">
        <v>3946</v>
      </c>
      <c r="J258" t="s">
        <v>3947</v>
      </c>
      <c r="K258" t="s">
        <v>74</v>
      </c>
      <c r="L258" t="s">
        <v>74</v>
      </c>
      <c r="M258" t="s">
        <v>79</v>
      </c>
      <c r="N258" t="s">
        <v>126</v>
      </c>
      <c r="O258" t="s">
        <v>74</v>
      </c>
      <c r="P258" t="s">
        <v>74</v>
      </c>
      <c r="Q258" t="s">
        <v>74</v>
      </c>
      <c r="R258" t="s">
        <v>74</v>
      </c>
      <c r="S258" t="s">
        <v>74</v>
      </c>
      <c r="T258" t="s">
        <v>74</v>
      </c>
      <c r="U258" t="s">
        <v>3948</v>
      </c>
      <c r="V258" t="s">
        <v>3949</v>
      </c>
      <c r="W258" t="s">
        <v>3950</v>
      </c>
      <c r="X258" t="s">
        <v>3951</v>
      </c>
      <c r="Y258" t="s">
        <v>3952</v>
      </c>
      <c r="Z258" t="s">
        <v>3953</v>
      </c>
      <c r="AA258" t="s">
        <v>3954</v>
      </c>
      <c r="AB258" t="s">
        <v>74</v>
      </c>
      <c r="AC258" t="s">
        <v>74</v>
      </c>
      <c r="AD258" t="s">
        <v>74</v>
      </c>
      <c r="AE258" t="s">
        <v>74</v>
      </c>
      <c r="AF258" t="s">
        <v>74</v>
      </c>
      <c r="AG258">
        <v>79</v>
      </c>
      <c r="AH258">
        <v>28</v>
      </c>
      <c r="AI258">
        <v>30</v>
      </c>
      <c r="AJ258">
        <v>0</v>
      </c>
      <c r="AK258">
        <v>11</v>
      </c>
      <c r="AL258" t="s">
        <v>2170</v>
      </c>
      <c r="AM258" t="s">
        <v>240</v>
      </c>
      <c r="AN258" t="s">
        <v>2171</v>
      </c>
      <c r="AO258" t="s">
        <v>3955</v>
      </c>
      <c r="AP258" t="s">
        <v>74</v>
      </c>
      <c r="AQ258" t="s">
        <v>74</v>
      </c>
      <c r="AR258" t="s">
        <v>3956</v>
      </c>
      <c r="AS258" t="s">
        <v>3957</v>
      </c>
      <c r="AT258" t="s">
        <v>3922</v>
      </c>
      <c r="AU258">
        <v>2004</v>
      </c>
      <c r="AV258">
        <v>108</v>
      </c>
      <c r="AW258">
        <v>43</v>
      </c>
      <c r="AX258" t="s">
        <v>74</v>
      </c>
      <c r="AY258" t="s">
        <v>74</v>
      </c>
      <c r="AZ258" t="s">
        <v>74</v>
      </c>
      <c r="BA258" t="s">
        <v>74</v>
      </c>
      <c r="BB258">
        <v>16786</v>
      </c>
      <c r="BC258">
        <v>16797</v>
      </c>
      <c r="BD258" t="s">
        <v>74</v>
      </c>
      <c r="BE258" t="s">
        <v>3958</v>
      </c>
      <c r="BF258" t="str">
        <f>HYPERLINK("http://dx.doi.org/10.1021/jp049314p","http://dx.doi.org/10.1021/jp049314p")</f>
        <v>http://dx.doi.org/10.1021/jp049314p</v>
      </c>
      <c r="BG258" t="s">
        <v>74</v>
      </c>
      <c r="BH258" t="s">
        <v>74</v>
      </c>
      <c r="BI258">
        <v>12</v>
      </c>
      <c r="BJ258" t="s">
        <v>3959</v>
      </c>
      <c r="BK258" t="s">
        <v>139</v>
      </c>
      <c r="BL258" t="s">
        <v>1151</v>
      </c>
      <c r="BM258" t="s">
        <v>3960</v>
      </c>
      <c r="BN258" t="s">
        <v>74</v>
      </c>
      <c r="BO258" t="s">
        <v>74</v>
      </c>
      <c r="BP258" t="s">
        <v>74</v>
      </c>
      <c r="BQ258" t="s">
        <v>74</v>
      </c>
      <c r="BR258" t="s">
        <v>98</v>
      </c>
      <c r="BS258" t="s">
        <v>3961</v>
      </c>
      <c r="BT258" t="str">
        <f>HYPERLINK("https%3A%2F%2Fwww.webofscience.com%2Fwos%2Fwoscc%2Ffull-record%2FWOS:000224685600031","View Full Record in Web of Science")</f>
        <v>View Full Record in Web of Science</v>
      </c>
    </row>
    <row r="259" spans="1:72" x14ac:dyDescent="0.15">
      <c r="A259" t="s">
        <v>122</v>
      </c>
      <c r="B259" t="s">
        <v>3962</v>
      </c>
      <c r="C259" t="s">
        <v>74</v>
      </c>
      <c r="D259" t="s">
        <v>74</v>
      </c>
      <c r="E259" t="s">
        <v>74</v>
      </c>
      <c r="F259" t="s">
        <v>3962</v>
      </c>
      <c r="G259" t="s">
        <v>74</v>
      </c>
      <c r="H259" t="s">
        <v>74</v>
      </c>
      <c r="I259" t="s">
        <v>3963</v>
      </c>
      <c r="J259" t="s">
        <v>230</v>
      </c>
      <c r="K259" t="s">
        <v>74</v>
      </c>
      <c r="L259" t="s">
        <v>74</v>
      </c>
      <c r="M259" t="s">
        <v>79</v>
      </c>
      <c r="N259" t="s">
        <v>126</v>
      </c>
      <c r="O259" t="s">
        <v>74</v>
      </c>
      <c r="P259" t="s">
        <v>74</v>
      </c>
      <c r="Q259" t="s">
        <v>74</v>
      </c>
      <c r="R259" t="s">
        <v>74</v>
      </c>
      <c r="S259" t="s">
        <v>74</v>
      </c>
      <c r="T259" t="s">
        <v>74</v>
      </c>
      <c r="U259" t="s">
        <v>3964</v>
      </c>
      <c r="V259" t="s">
        <v>3965</v>
      </c>
      <c r="W259" t="s">
        <v>3966</v>
      </c>
      <c r="X259" t="s">
        <v>3967</v>
      </c>
      <c r="Y259" t="s">
        <v>3968</v>
      </c>
      <c r="Z259" t="s">
        <v>3969</v>
      </c>
      <c r="AA259" t="s">
        <v>3970</v>
      </c>
      <c r="AB259" t="s">
        <v>3971</v>
      </c>
      <c r="AC259" t="s">
        <v>74</v>
      </c>
      <c r="AD259" t="s">
        <v>74</v>
      </c>
      <c r="AE259" t="s">
        <v>74</v>
      </c>
      <c r="AF259" t="s">
        <v>74</v>
      </c>
      <c r="AG259">
        <v>12</v>
      </c>
      <c r="AH259">
        <v>30</v>
      </c>
      <c r="AI259">
        <v>36</v>
      </c>
      <c r="AJ259">
        <v>0</v>
      </c>
      <c r="AK259">
        <v>0</v>
      </c>
      <c r="AL259" t="s">
        <v>239</v>
      </c>
      <c r="AM259" t="s">
        <v>240</v>
      </c>
      <c r="AN259" t="s">
        <v>241</v>
      </c>
      <c r="AO259" t="s">
        <v>242</v>
      </c>
      <c r="AP259" t="s">
        <v>74</v>
      </c>
      <c r="AQ259" t="s">
        <v>74</v>
      </c>
      <c r="AR259" t="s">
        <v>243</v>
      </c>
      <c r="AS259" t="s">
        <v>244</v>
      </c>
      <c r="AT259" t="s">
        <v>3972</v>
      </c>
      <c r="AU259">
        <v>2004</v>
      </c>
      <c r="AV259">
        <v>31</v>
      </c>
      <c r="AW259">
        <v>20</v>
      </c>
      <c r="AX259" t="s">
        <v>74</v>
      </c>
      <c r="AY259" t="s">
        <v>74</v>
      </c>
      <c r="AZ259" t="s">
        <v>74</v>
      </c>
      <c r="BA259" t="s">
        <v>74</v>
      </c>
      <c r="BB259" t="s">
        <v>74</v>
      </c>
      <c r="BC259" t="s">
        <v>74</v>
      </c>
      <c r="BD259" t="s">
        <v>3973</v>
      </c>
      <c r="BE259" t="s">
        <v>3974</v>
      </c>
      <c r="BF259" t="str">
        <f>HYPERLINK("http://dx.doi.org/10.1029/2004GL021104","http://dx.doi.org/10.1029/2004GL021104")</f>
        <v>http://dx.doi.org/10.1029/2004GL021104</v>
      </c>
      <c r="BG259" t="s">
        <v>74</v>
      </c>
      <c r="BH259" t="s">
        <v>74</v>
      </c>
      <c r="BI259">
        <v>4</v>
      </c>
      <c r="BJ259" t="s">
        <v>248</v>
      </c>
      <c r="BK259" t="s">
        <v>139</v>
      </c>
      <c r="BL259" t="s">
        <v>249</v>
      </c>
      <c r="BM259" t="s">
        <v>3975</v>
      </c>
      <c r="BN259" t="s">
        <v>74</v>
      </c>
      <c r="BO259" t="s">
        <v>74</v>
      </c>
      <c r="BP259" t="s">
        <v>74</v>
      </c>
      <c r="BQ259" t="s">
        <v>74</v>
      </c>
      <c r="BR259" t="s">
        <v>98</v>
      </c>
      <c r="BS259" t="s">
        <v>3976</v>
      </c>
      <c r="BT259" t="str">
        <f>HYPERLINK("https%3A%2F%2Fwww.webofscience.com%2Fwos%2Fwoscc%2Ffull-record%2FWOS:000224876400004","View Full Record in Web of Science")</f>
        <v>View Full Record in Web of Science</v>
      </c>
    </row>
    <row r="260" spans="1:72" x14ac:dyDescent="0.15">
      <c r="A260" t="s">
        <v>122</v>
      </c>
      <c r="B260" t="s">
        <v>3977</v>
      </c>
      <c r="C260" t="s">
        <v>74</v>
      </c>
      <c r="D260" t="s">
        <v>74</v>
      </c>
      <c r="E260" t="s">
        <v>74</v>
      </c>
      <c r="F260" t="s">
        <v>3977</v>
      </c>
      <c r="G260" t="s">
        <v>74</v>
      </c>
      <c r="H260" t="s">
        <v>74</v>
      </c>
      <c r="I260" t="s">
        <v>3978</v>
      </c>
      <c r="J260" t="s">
        <v>277</v>
      </c>
      <c r="K260" t="s">
        <v>74</v>
      </c>
      <c r="L260" t="s">
        <v>74</v>
      </c>
      <c r="M260" t="s">
        <v>79</v>
      </c>
      <c r="N260" t="s">
        <v>126</v>
      </c>
      <c r="O260" t="s">
        <v>74</v>
      </c>
      <c r="P260" t="s">
        <v>74</v>
      </c>
      <c r="Q260" t="s">
        <v>74</v>
      </c>
      <c r="R260" t="s">
        <v>74</v>
      </c>
      <c r="S260" t="s">
        <v>74</v>
      </c>
      <c r="T260" t="s">
        <v>3979</v>
      </c>
      <c r="U260" t="s">
        <v>3980</v>
      </c>
      <c r="V260" t="s">
        <v>3981</v>
      </c>
      <c r="W260" t="s">
        <v>3982</v>
      </c>
      <c r="X260" t="s">
        <v>3983</v>
      </c>
      <c r="Y260" t="s">
        <v>3984</v>
      </c>
      <c r="Z260" t="s">
        <v>3985</v>
      </c>
      <c r="AA260" t="s">
        <v>3986</v>
      </c>
      <c r="AB260" t="s">
        <v>3987</v>
      </c>
      <c r="AC260" t="s">
        <v>74</v>
      </c>
      <c r="AD260" t="s">
        <v>74</v>
      </c>
      <c r="AE260" t="s">
        <v>74</v>
      </c>
      <c r="AF260" t="s">
        <v>74</v>
      </c>
      <c r="AG260">
        <v>78</v>
      </c>
      <c r="AH260">
        <v>112</v>
      </c>
      <c r="AI260">
        <v>133</v>
      </c>
      <c r="AJ260">
        <v>3</v>
      </c>
      <c r="AK260">
        <v>72</v>
      </c>
      <c r="AL260" t="s">
        <v>239</v>
      </c>
      <c r="AM260" t="s">
        <v>240</v>
      </c>
      <c r="AN260" t="s">
        <v>241</v>
      </c>
      <c r="AO260" t="s">
        <v>284</v>
      </c>
      <c r="AP260" t="s">
        <v>285</v>
      </c>
      <c r="AQ260" t="s">
        <v>74</v>
      </c>
      <c r="AR260" t="s">
        <v>286</v>
      </c>
      <c r="AS260" t="s">
        <v>287</v>
      </c>
      <c r="AT260" t="s">
        <v>3988</v>
      </c>
      <c r="AU260">
        <v>2004</v>
      </c>
      <c r="AV260">
        <v>109</v>
      </c>
      <c r="AW260" t="s">
        <v>3883</v>
      </c>
      <c r="AX260" t="s">
        <v>74</v>
      </c>
      <c r="AY260" t="s">
        <v>74</v>
      </c>
      <c r="AZ260" t="s">
        <v>74</v>
      </c>
      <c r="BA260" t="s">
        <v>74</v>
      </c>
      <c r="BB260" t="s">
        <v>74</v>
      </c>
      <c r="BC260" t="s">
        <v>74</v>
      </c>
      <c r="BD260" t="s">
        <v>3989</v>
      </c>
      <c r="BE260" t="s">
        <v>3990</v>
      </c>
      <c r="BF260" t="str">
        <f>HYPERLINK("http://dx.doi.org/10.1029/2004JD004991","http://dx.doi.org/10.1029/2004JD004991")</f>
        <v>http://dx.doi.org/10.1029/2004JD004991</v>
      </c>
      <c r="BG260" t="s">
        <v>74</v>
      </c>
      <c r="BH260" t="s">
        <v>74</v>
      </c>
      <c r="BI260">
        <v>11</v>
      </c>
      <c r="BJ260" t="s">
        <v>291</v>
      </c>
      <c r="BK260" t="s">
        <v>139</v>
      </c>
      <c r="BL260" t="s">
        <v>291</v>
      </c>
      <c r="BM260" t="s">
        <v>3991</v>
      </c>
      <c r="BN260" t="s">
        <v>74</v>
      </c>
      <c r="BO260" t="s">
        <v>74</v>
      </c>
      <c r="BP260" t="s">
        <v>74</v>
      </c>
      <c r="BQ260" t="s">
        <v>74</v>
      </c>
      <c r="BR260" t="s">
        <v>98</v>
      </c>
      <c r="BS260" t="s">
        <v>3992</v>
      </c>
      <c r="BT260" t="str">
        <f>HYPERLINK("https%3A%2F%2Fwww.webofscience.com%2Fwos%2Fwoscc%2Ffull-record%2FWOS:000224877000006","View Full Record in Web of Science")</f>
        <v>View Full Record in Web of Science</v>
      </c>
    </row>
    <row r="261" spans="1:72" x14ac:dyDescent="0.15">
      <c r="A261" t="s">
        <v>122</v>
      </c>
      <c r="B261" t="s">
        <v>3993</v>
      </c>
      <c r="C261" t="s">
        <v>74</v>
      </c>
      <c r="D261" t="s">
        <v>74</v>
      </c>
      <c r="E261" t="s">
        <v>74</v>
      </c>
      <c r="F261" t="s">
        <v>3993</v>
      </c>
      <c r="G261" t="s">
        <v>74</v>
      </c>
      <c r="H261" t="s">
        <v>74</v>
      </c>
      <c r="I261" t="s">
        <v>3994</v>
      </c>
      <c r="J261" t="s">
        <v>2283</v>
      </c>
      <c r="K261" t="s">
        <v>74</v>
      </c>
      <c r="L261" t="s">
        <v>74</v>
      </c>
      <c r="M261" t="s">
        <v>79</v>
      </c>
      <c r="N261" t="s">
        <v>581</v>
      </c>
      <c r="O261" t="s">
        <v>74</v>
      </c>
      <c r="P261" t="s">
        <v>74</v>
      </c>
      <c r="Q261" t="s">
        <v>74</v>
      </c>
      <c r="R261" t="s">
        <v>74</v>
      </c>
      <c r="S261" t="s">
        <v>74</v>
      </c>
      <c r="T261" t="s">
        <v>3995</v>
      </c>
      <c r="U261" t="s">
        <v>3996</v>
      </c>
      <c r="V261" t="s">
        <v>3997</v>
      </c>
      <c r="W261" t="s">
        <v>3998</v>
      </c>
      <c r="X261" t="s">
        <v>3999</v>
      </c>
      <c r="Y261" t="s">
        <v>4000</v>
      </c>
      <c r="Z261" t="s">
        <v>4001</v>
      </c>
      <c r="AA261" t="s">
        <v>4002</v>
      </c>
      <c r="AB261" t="s">
        <v>4003</v>
      </c>
      <c r="AC261" t="s">
        <v>74</v>
      </c>
      <c r="AD261" t="s">
        <v>74</v>
      </c>
      <c r="AE261" t="s">
        <v>74</v>
      </c>
      <c r="AF261" t="s">
        <v>74</v>
      </c>
      <c r="AG261">
        <v>171</v>
      </c>
      <c r="AH261">
        <v>12</v>
      </c>
      <c r="AI261">
        <v>15</v>
      </c>
      <c r="AJ261">
        <v>0</v>
      </c>
      <c r="AK261">
        <v>6</v>
      </c>
      <c r="AL261" t="s">
        <v>531</v>
      </c>
      <c r="AM261" t="s">
        <v>532</v>
      </c>
      <c r="AN261" t="s">
        <v>533</v>
      </c>
      <c r="AO261" t="s">
        <v>2294</v>
      </c>
      <c r="AP261" t="s">
        <v>2295</v>
      </c>
      <c r="AQ261" t="s">
        <v>74</v>
      </c>
      <c r="AR261" t="s">
        <v>2296</v>
      </c>
      <c r="AS261" t="s">
        <v>2297</v>
      </c>
      <c r="AT261" t="s">
        <v>4004</v>
      </c>
      <c r="AU261">
        <v>2004</v>
      </c>
      <c r="AV261">
        <v>213</v>
      </c>
      <c r="AW261" t="s">
        <v>538</v>
      </c>
      <c r="AX261" t="s">
        <v>74</v>
      </c>
      <c r="AY261" t="s">
        <v>74</v>
      </c>
      <c r="AZ261" t="s">
        <v>74</v>
      </c>
      <c r="BA261" t="s">
        <v>74</v>
      </c>
      <c r="BB261">
        <v>379</v>
      </c>
      <c r="BC261">
        <v>398</v>
      </c>
      <c r="BD261" t="s">
        <v>74</v>
      </c>
      <c r="BE261" t="s">
        <v>4005</v>
      </c>
      <c r="BF261" t="str">
        <f>HYPERLINK("http://dx.doi.org/10.1016/j.palaeo.2004.07.020","http://dx.doi.org/10.1016/j.palaeo.2004.07.020")</f>
        <v>http://dx.doi.org/10.1016/j.palaeo.2004.07.020</v>
      </c>
      <c r="BG261" t="s">
        <v>74</v>
      </c>
      <c r="BH261" t="s">
        <v>74</v>
      </c>
      <c r="BI261">
        <v>20</v>
      </c>
      <c r="BJ261" t="s">
        <v>2299</v>
      </c>
      <c r="BK261" t="s">
        <v>139</v>
      </c>
      <c r="BL261" t="s">
        <v>2300</v>
      </c>
      <c r="BM261" t="s">
        <v>4006</v>
      </c>
      <c r="BN261" t="s">
        <v>74</v>
      </c>
      <c r="BO261" t="s">
        <v>74</v>
      </c>
      <c r="BP261" t="s">
        <v>74</v>
      </c>
      <c r="BQ261" t="s">
        <v>74</v>
      </c>
      <c r="BR261" t="s">
        <v>98</v>
      </c>
      <c r="BS261" t="s">
        <v>4007</v>
      </c>
      <c r="BT261" t="str">
        <f>HYPERLINK("https%3A%2F%2Fwww.webofscience.com%2Fwos%2Fwoscc%2Ffull-record%2FWOS:000224725800009","View Full Record in Web of Science")</f>
        <v>View Full Record in Web of Science</v>
      </c>
    </row>
    <row r="262" spans="1:72" x14ac:dyDescent="0.15">
      <c r="A262" t="s">
        <v>122</v>
      </c>
      <c r="B262" t="s">
        <v>4008</v>
      </c>
      <c r="C262" t="s">
        <v>74</v>
      </c>
      <c r="D262" t="s">
        <v>74</v>
      </c>
      <c r="E262" t="s">
        <v>74</v>
      </c>
      <c r="F262" t="s">
        <v>4008</v>
      </c>
      <c r="G262" t="s">
        <v>74</v>
      </c>
      <c r="H262" t="s">
        <v>74</v>
      </c>
      <c r="I262" t="s">
        <v>4009</v>
      </c>
      <c r="J262" t="s">
        <v>230</v>
      </c>
      <c r="K262" t="s">
        <v>74</v>
      </c>
      <c r="L262" t="s">
        <v>74</v>
      </c>
      <c r="M262" t="s">
        <v>79</v>
      </c>
      <c r="N262" t="s">
        <v>126</v>
      </c>
      <c r="O262" t="s">
        <v>74</v>
      </c>
      <c r="P262" t="s">
        <v>74</v>
      </c>
      <c r="Q262" t="s">
        <v>74</v>
      </c>
      <c r="R262" t="s">
        <v>74</v>
      </c>
      <c r="S262" t="s">
        <v>74</v>
      </c>
      <c r="T262" t="s">
        <v>74</v>
      </c>
      <c r="U262" t="s">
        <v>4010</v>
      </c>
      <c r="V262" t="s">
        <v>4011</v>
      </c>
      <c r="W262" t="s">
        <v>4012</v>
      </c>
      <c r="X262" t="s">
        <v>4013</v>
      </c>
      <c r="Y262" t="s">
        <v>3864</v>
      </c>
      <c r="Z262" t="s">
        <v>4014</v>
      </c>
      <c r="AA262" t="s">
        <v>4015</v>
      </c>
      <c r="AB262" t="s">
        <v>4016</v>
      </c>
      <c r="AC262" t="s">
        <v>74</v>
      </c>
      <c r="AD262" t="s">
        <v>74</v>
      </c>
      <c r="AE262" t="s">
        <v>74</v>
      </c>
      <c r="AF262" t="s">
        <v>74</v>
      </c>
      <c r="AG262">
        <v>12</v>
      </c>
      <c r="AH262">
        <v>43</v>
      </c>
      <c r="AI262">
        <v>49</v>
      </c>
      <c r="AJ262">
        <v>1</v>
      </c>
      <c r="AK262">
        <v>10</v>
      </c>
      <c r="AL262" t="s">
        <v>239</v>
      </c>
      <c r="AM262" t="s">
        <v>240</v>
      </c>
      <c r="AN262" t="s">
        <v>241</v>
      </c>
      <c r="AO262" t="s">
        <v>242</v>
      </c>
      <c r="AP262" t="s">
        <v>341</v>
      </c>
      <c r="AQ262" t="s">
        <v>74</v>
      </c>
      <c r="AR262" t="s">
        <v>243</v>
      </c>
      <c r="AS262" t="s">
        <v>244</v>
      </c>
      <c r="AT262" t="s">
        <v>4017</v>
      </c>
      <c r="AU262">
        <v>2004</v>
      </c>
      <c r="AV262">
        <v>31</v>
      </c>
      <c r="AW262">
        <v>20</v>
      </c>
      <c r="AX262" t="s">
        <v>74</v>
      </c>
      <c r="AY262" t="s">
        <v>74</v>
      </c>
      <c r="AZ262" t="s">
        <v>74</v>
      </c>
      <c r="BA262" t="s">
        <v>74</v>
      </c>
      <c r="BB262" t="s">
        <v>74</v>
      </c>
      <c r="BC262" t="s">
        <v>74</v>
      </c>
      <c r="BD262" t="s">
        <v>4018</v>
      </c>
      <c r="BE262" t="s">
        <v>4019</v>
      </c>
      <c r="BF262" t="str">
        <f>HYPERLINK("http://dx.doi.org/10.1029/2004GL020379","http://dx.doi.org/10.1029/2004GL020379")</f>
        <v>http://dx.doi.org/10.1029/2004GL020379</v>
      </c>
      <c r="BG262" t="s">
        <v>74</v>
      </c>
      <c r="BH262" t="s">
        <v>74</v>
      </c>
      <c r="BI262">
        <v>4</v>
      </c>
      <c r="BJ262" t="s">
        <v>248</v>
      </c>
      <c r="BK262" t="s">
        <v>139</v>
      </c>
      <c r="BL262" t="s">
        <v>249</v>
      </c>
      <c r="BM262" t="s">
        <v>4020</v>
      </c>
      <c r="BN262" t="s">
        <v>74</v>
      </c>
      <c r="BO262" t="s">
        <v>273</v>
      </c>
      <c r="BP262" t="s">
        <v>74</v>
      </c>
      <c r="BQ262" t="s">
        <v>74</v>
      </c>
      <c r="BR262" t="s">
        <v>98</v>
      </c>
      <c r="BS262" t="s">
        <v>4021</v>
      </c>
      <c r="BT262" t="str">
        <f>HYPERLINK("https%3A%2F%2Fwww.webofscience.com%2Fwos%2Fwoscc%2Ffull-record%2FWOS:000224875600001","View Full Record in Web of Science")</f>
        <v>View Full Record in Web of Science</v>
      </c>
    </row>
    <row r="263" spans="1:72" x14ac:dyDescent="0.15">
      <c r="A263" t="s">
        <v>122</v>
      </c>
      <c r="B263" t="s">
        <v>4022</v>
      </c>
      <c r="C263" t="s">
        <v>74</v>
      </c>
      <c r="D263" t="s">
        <v>74</v>
      </c>
      <c r="E263" t="s">
        <v>74</v>
      </c>
      <c r="F263" t="s">
        <v>4022</v>
      </c>
      <c r="G263" t="s">
        <v>74</v>
      </c>
      <c r="H263" t="s">
        <v>74</v>
      </c>
      <c r="I263" t="s">
        <v>4023</v>
      </c>
      <c r="J263" t="s">
        <v>277</v>
      </c>
      <c r="K263" t="s">
        <v>74</v>
      </c>
      <c r="L263" t="s">
        <v>74</v>
      </c>
      <c r="M263" t="s">
        <v>79</v>
      </c>
      <c r="N263" t="s">
        <v>126</v>
      </c>
      <c r="O263" t="s">
        <v>74</v>
      </c>
      <c r="P263" t="s">
        <v>74</v>
      </c>
      <c r="Q263" t="s">
        <v>74</v>
      </c>
      <c r="R263" t="s">
        <v>74</v>
      </c>
      <c r="S263" t="s">
        <v>74</v>
      </c>
      <c r="T263" t="s">
        <v>4024</v>
      </c>
      <c r="U263" t="s">
        <v>4025</v>
      </c>
      <c r="V263" t="s">
        <v>4026</v>
      </c>
      <c r="W263" t="s">
        <v>4027</v>
      </c>
      <c r="X263" t="s">
        <v>4028</v>
      </c>
      <c r="Y263" t="s">
        <v>4029</v>
      </c>
      <c r="Z263" t="s">
        <v>74</v>
      </c>
      <c r="AA263" t="s">
        <v>4030</v>
      </c>
      <c r="AB263" t="s">
        <v>4031</v>
      </c>
      <c r="AC263" t="s">
        <v>74</v>
      </c>
      <c r="AD263" t="s">
        <v>74</v>
      </c>
      <c r="AE263" t="s">
        <v>74</v>
      </c>
      <c r="AF263" t="s">
        <v>74</v>
      </c>
      <c r="AG263">
        <v>58</v>
      </c>
      <c r="AH263">
        <v>84</v>
      </c>
      <c r="AI263">
        <v>102</v>
      </c>
      <c r="AJ263">
        <v>1</v>
      </c>
      <c r="AK263">
        <v>40</v>
      </c>
      <c r="AL263" t="s">
        <v>239</v>
      </c>
      <c r="AM263" t="s">
        <v>240</v>
      </c>
      <c r="AN263" t="s">
        <v>241</v>
      </c>
      <c r="AO263" t="s">
        <v>284</v>
      </c>
      <c r="AP263" t="s">
        <v>285</v>
      </c>
      <c r="AQ263" t="s">
        <v>74</v>
      </c>
      <c r="AR263" t="s">
        <v>286</v>
      </c>
      <c r="AS263" t="s">
        <v>287</v>
      </c>
      <c r="AT263" t="s">
        <v>4017</v>
      </c>
      <c r="AU263">
        <v>2004</v>
      </c>
      <c r="AV263">
        <v>109</v>
      </c>
      <c r="AW263" t="s">
        <v>3883</v>
      </c>
      <c r="AX263" t="s">
        <v>74</v>
      </c>
      <c r="AY263" t="s">
        <v>74</v>
      </c>
      <c r="AZ263" t="s">
        <v>74</v>
      </c>
      <c r="BA263" t="s">
        <v>74</v>
      </c>
      <c r="BB263" t="s">
        <v>74</v>
      </c>
      <c r="BC263" t="s">
        <v>74</v>
      </c>
      <c r="BD263" t="s">
        <v>4032</v>
      </c>
      <c r="BE263" t="s">
        <v>4033</v>
      </c>
      <c r="BF263" t="str">
        <f>HYPERLINK("http://dx.doi.org/10.1029/2004JD004713","http://dx.doi.org/10.1029/2004JD004713")</f>
        <v>http://dx.doi.org/10.1029/2004JD004713</v>
      </c>
      <c r="BG263" t="s">
        <v>74</v>
      </c>
      <c r="BH263" t="s">
        <v>74</v>
      </c>
      <c r="BI263">
        <v>18</v>
      </c>
      <c r="BJ263" t="s">
        <v>291</v>
      </c>
      <c r="BK263" t="s">
        <v>139</v>
      </c>
      <c r="BL263" t="s">
        <v>291</v>
      </c>
      <c r="BM263" t="s">
        <v>4034</v>
      </c>
      <c r="BN263" t="s">
        <v>74</v>
      </c>
      <c r="BO263" t="s">
        <v>273</v>
      </c>
      <c r="BP263" t="s">
        <v>74</v>
      </c>
      <c r="BQ263" t="s">
        <v>74</v>
      </c>
      <c r="BR263" t="s">
        <v>98</v>
      </c>
      <c r="BS263" t="s">
        <v>4035</v>
      </c>
      <c r="BT263" t="str">
        <f>HYPERLINK("https%3A%2F%2Fwww.webofscience.com%2Fwos%2Fwoscc%2Ffull-record%2FWOS:000224876600009","View Full Record in Web of Science")</f>
        <v>View Full Record in Web of Science</v>
      </c>
    </row>
    <row r="264" spans="1:72" x14ac:dyDescent="0.15">
      <c r="A264" t="s">
        <v>122</v>
      </c>
      <c r="B264" t="s">
        <v>4036</v>
      </c>
      <c r="C264" t="s">
        <v>74</v>
      </c>
      <c r="D264" t="s">
        <v>74</v>
      </c>
      <c r="E264" t="s">
        <v>74</v>
      </c>
      <c r="F264" t="s">
        <v>4036</v>
      </c>
      <c r="G264" t="s">
        <v>74</v>
      </c>
      <c r="H264" t="s">
        <v>74</v>
      </c>
      <c r="I264" t="s">
        <v>4037</v>
      </c>
      <c r="J264" t="s">
        <v>277</v>
      </c>
      <c r="K264" t="s">
        <v>74</v>
      </c>
      <c r="L264" t="s">
        <v>74</v>
      </c>
      <c r="M264" t="s">
        <v>79</v>
      </c>
      <c r="N264" t="s">
        <v>126</v>
      </c>
      <c r="O264" t="s">
        <v>74</v>
      </c>
      <c r="P264" t="s">
        <v>74</v>
      </c>
      <c r="Q264" t="s">
        <v>74</v>
      </c>
      <c r="R264" t="s">
        <v>74</v>
      </c>
      <c r="S264" t="s">
        <v>74</v>
      </c>
      <c r="T264" t="s">
        <v>4038</v>
      </c>
      <c r="U264" t="s">
        <v>4039</v>
      </c>
      <c r="V264" t="s">
        <v>4040</v>
      </c>
      <c r="W264" t="s">
        <v>4041</v>
      </c>
      <c r="X264" t="s">
        <v>4042</v>
      </c>
      <c r="Y264" t="s">
        <v>4043</v>
      </c>
      <c r="Z264" t="s">
        <v>4044</v>
      </c>
      <c r="AA264" t="s">
        <v>4045</v>
      </c>
      <c r="AB264" t="s">
        <v>4046</v>
      </c>
      <c r="AC264" t="s">
        <v>74</v>
      </c>
      <c r="AD264" t="s">
        <v>74</v>
      </c>
      <c r="AE264" t="s">
        <v>74</v>
      </c>
      <c r="AF264" t="s">
        <v>74</v>
      </c>
      <c r="AG264">
        <v>29</v>
      </c>
      <c r="AH264">
        <v>87</v>
      </c>
      <c r="AI264">
        <v>99</v>
      </c>
      <c r="AJ264">
        <v>0</v>
      </c>
      <c r="AK264">
        <v>19</v>
      </c>
      <c r="AL264" t="s">
        <v>239</v>
      </c>
      <c r="AM264" t="s">
        <v>240</v>
      </c>
      <c r="AN264" t="s">
        <v>241</v>
      </c>
      <c r="AO264" t="s">
        <v>284</v>
      </c>
      <c r="AP264" t="s">
        <v>285</v>
      </c>
      <c r="AQ264" t="s">
        <v>74</v>
      </c>
      <c r="AR264" t="s">
        <v>286</v>
      </c>
      <c r="AS264" t="s">
        <v>287</v>
      </c>
      <c r="AT264" t="s">
        <v>4017</v>
      </c>
      <c r="AU264">
        <v>2004</v>
      </c>
      <c r="AV264">
        <v>109</v>
      </c>
      <c r="AW264" t="s">
        <v>3883</v>
      </c>
      <c r="AX264" t="s">
        <v>74</v>
      </c>
      <c r="AY264" t="s">
        <v>74</v>
      </c>
      <c r="AZ264" t="s">
        <v>74</v>
      </c>
      <c r="BA264" t="s">
        <v>74</v>
      </c>
      <c r="BB264" t="s">
        <v>74</v>
      </c>
      <c r="BC264" t="s">
        <v>74</v>
      </c>
      <c r="BD264" t="s">
        <v>4047</v>
      </c>
      <c r="BE264" t="s">
        <v>4048</v>
      </c>
      <c r="BF264" t="str">
        <f>HYPERLINK("http://dx.doi.org/10.1029/2004JD004561","http://dx.doi.org/10.1029/2004JD004561")</f>
        <v>http://dx.doi.org/10.1029/2004JD004561</v>
      </c>
      <c r="BG264" t="s">
        <v>74</v>
      </c>
      <c r="BH264" t="s">
        <v>74</v>
      </c>
      <c r="BI264">
        <v>14</v>
      </c>
      <c r="BJ264" t="s">
        <v>291</v>
      </c>
      <c r="BK264" t="s">
        <v>139</v>
      </c>
      <c r="BL264" t="s">
        <v>291</v>
      </c>
      <c r="BM264" t="s">
        <v>4034</v>
      </c>
      <c r="BN264" t="s">
        <v>74</v>
      </c>
      <c r="BO264" t="s">
        <v>207</v>
      </c>
      <c r="BP264" t="s">
        <v>74</v>
      </c>
      <c r="BQ264" t="s">
        <v>74</v>
      </c>
      <c r="BR264" t="s">
        <v>98</v>
      </c>
      <c r="BS264" t="s">
        <v>4049</v>
      </c>
      <c r="BT264" t="str">
        <f>HYPERLINK("https%3A%2F%2Fwww.webofscience.com%2Fwos%2Fwoscc%2Ffull-record%2FWOS:000224876600004","View Full Record in Web of Science")</f>
        <v>View Full Record in Web of Science</v>
      </c>
    </row>
    <row r="265" spans="1:72" x14ac:dyDescent="0.15">
      <c r="A265" t="s">
        <v>122</v>
      </c>
      <c r="B265" t="s">
        <v>4050</v>
      </c>
      <c r="C265" t="s">
        <v>74</v>
      </c>
      <c r="D265" t="s">
        <v>74</v>
      </c>
      <c r="E265" t="s">
        <v>74</v>
      </c>
      <c r="F265" t="s">
        <v>4050</v>
      </c>
      <c r="G265" t="s">
        <v>74</v>
      </c>
      <c r="H265" t="s">
        <v>74</v>
      </c>
      <c r="I265" t="s">
        <v>4051</v>
      </c>
      <c r="J265" t="s">
        <v>311</v>
      </c>
      <c r="K265" t="s">
        <v>74</v>
      </c>
      <c r="L265" t="s">
        <v>74</v>
      </c>
      <c r="M265" t="s">
        <v>79</v>
      </c>
      <c r="N265" t="s">
        <v>126</v>
      </c>
      <c r="O265" t="s">
        <v>74</v>
      </c>
      <c r="P265" t="s">
        <v>74</v>
      </c>
      <c r="Q265" t="s">
        <v>74</v>
      </c>
      <c r="R265" t="s">
        <v>74</v>
      </c>
      <c r="S265" t="s">
        <v>74</v>
      </c>
      <c r="T265" t="s">
        <v>4052</v>
      </c>
      <c r="U265" t="s">
        <v>4053</v>
      </c>
      <c r="V265" t="s">
        <v>4054</v>
      </c>
      <c r="W265" t="s">
        <v>4055</v>
      </c>
      <c r="X265" t="s">
        <v>4056</v>
      </c>
      <c r="Y265" t="s">
        <v>4057</v>
      </c>
      <c r="Z265" t="s">
        <v>4058</v>
      </c>
      <c r="AA265" t="s">
        <v>4059</v>
      </c>
      <c r="AB265" t="s">
        <v>4060</v>
      </c>
      <c r="AC265" t="s">
        <v>74</v>
      </c>
      <c r="AD265" t="s">
        <v>74</v>
      </c>
      <c r="AE265" t="s">
        <v>74</v>
      </c>
      <c r="AF265" t="s">
        <v>74</v>
      </c>
      <c r="AG265">
        <v>85</v>
      </c>
      <c r="AH265">
        <v>77</v>
      </c>
      <c r="AI265">
        <v>94</v>
      </c>
      <c r="AJ265">
        <v>0</v>
      </c>
      <c r="AK265">
        <v>33</v>
      </c>
      <c r="AL265" t="s">
        <v>239</v>
      </c>
      <c r="AM265" t="s">
        <v>240</v>
      </c>
      <c r="AN265" t="s">
        <v>241</v>
      </c>
      <c r="AO265" t="s">
        <v>321</v>
      </c>
      <c r="AP265" t="s">
        <v>439</v>
      </c>
      <c r="AQ265" t="s">
        <v>74</v>
      </c>
      <c r="AR265" t="s">
        <v>311</v>
      </c>
      <c r="AS265" t="s">
        <v>322</v>
      </c>
      <c r="AT265" t="s">
        <v>4061</v>
      </c>
      <c r="AU265">
        <v>2004</v>
      </c>
      <c r="AV265">
        <v>19</v>
      </c>
      <c r="AW265">
        <v>4</v>
      </c>
      <c r="AX265" t="s">
        <v>74</v>
      </c>
      <c r="AY265" t="s">
        <v>74</v>
      </c>
      <c r="AZ265" t="s">
        <v>74</v>
      </c>
      <c r="BA265" t="s">
        <v>74</v>
      </c>
      <c r="BB265" t="s">
        <v>74</v>
      </c>
      <c r="BC265" t="s">
        <v>74</v>
      </c>
      <c r="BD265" t="s">
        <v>4062</v>
      </c>
      <c r="BE265" t="s">
        <v>4063</v>
      </c>
      <c r="BF265" t="str">
        <f>HYPERLINK("http://dx.doi.org/10.1029/2003PA001000","http://dx.doi.org/10.1029/2003PA001000")</f>
        <v>http://dx.doi.org/10.1029/2003PA001000</v>
      </c>
      <c r="BG265" t="s">
        <v>74</v>
      </c>
      <c r="BH265" t="s">
        <v>74</v>
      </c>
      <c r="BI265">
        <v>12</v>
      </c>
      <c r="BJ265" t="s">
        <v>326</v>
      </c>
      <c r="BK265" t="s">
        <v>139</v>
      </c>
      <c r="BL265" t="s">
        <v>327</v>
      </c>
      <c r="BM265" t="s">
        <v>4064</v>
      </c>
      <c r="BN265" t="s">
        <v>74</v>
      </c>
      <c r="BO265" t="s">
        <v>207</v>
      </c>
      <c r="BP265" t="s">
        <v>74</v>
      </c>
      <c r="BQ265" t="s">
        <v>74</v>
      </c>
      <c r="BR265" t="s">
        <v>98</v>
      </c>
      <c r="BS265" t="s">
        <v>4065</v>
      </c>
      <c r="BT265" t="str">
        <f>HYPERLINK("https%3A%2F%2Fwww.webofscience.com%2Fwos%2Fwoscc%2Ffull-record%2FWOS:000224581900002","View Full Record in Web of Science")</f>
        <v>View Full Record in Web of Science</v>
      </c>
    </row>
    <row r="266" spans="1:72" x14ac:dyDescent="0.15">
      <c r="A266" t="s">
        <v>122</v>
      </c>
      <c r="B266" t="s">
        <v>4066</v>
      </c>
      <c r="C266" t="s">
        <v>74</v>
      </c>
      <c r="D266" t="s">
        <v>74</v>
      </c>
      <c r="E266" t="s">
        <v>74</v>
      </c>
      <c r="F266" t="s">
        <v>4066</v>
      </c>
      <c r="G266" t="s">
        <v>74</v>
      </c>
      <c r="H266" t="s">
        <v>74</v>
      </c>
      <c r="I266" t="s">
        <v>4067</v>
      </c>
      <c r="J266" t="s">
        <v>311</v>
      </c>
      <c r="K266" t="s">
        <v>74</v>
      </c>
      <c r="L266" t="s">
        <v>74</v>
      </c>
      <c r="M266" t="s">
        <v>79</v>
      </c>
      <c r="N266" t="s">
        <v>126</v>
      </c>
      <c r="O266" t="s">
        <v>74</v>
      </c>
      <c r="P266" t="s">
        <v>74</v>
      </c>
      <c r="Q266" t="s">
        <v>74</v>
      </c>
      <c r="R266" t="s">
        <v>74</v>
      </c>
      <c r="S266" t="s">
        <v>74</v>
      </c>
      <c r="T266" t="s">
        <v>4068</v>
      </c>
      <c r="U266" t="s">
        <v>4069</v>
      </c>
      <c r="V266" t="s">
        <v>4070</v>
      </c>
      <c r="W266" t="s">
        <v>4071</v>
      </c>
      <c r="X266" t="s">
        <v>4072</v>
      </c>
      <c r="Y266" t="s">
        <v>4073</v>
      </c>
      <c r="Z266" t="s">
        <v>4074</v>
      </c>
      <c r="AA266" t="s">
        <v>74</v>
      </c>
      <c r="AB266" t="s">
        <v>74</v>
      </c>
      <c r="AC266" t="s">
        <v>74</v>
      </c>
      <c r="AD266" t="s">
        <v>74</v>
      </c>
      <c r="AE266" t="s">
        <v>74</v>
      </c>
      <c r="AF266" t="s">
        <v>74</v>
      </c>
      <c r="AG266">
        <v>99</v>
      </c>
      <c r="AH266">
        <v>68</v>
      </c>
      <c r="AI266">
        <v>70</v>
      </c>
      <c r="AJ266">
        <v>1</v>
      </c>
      <c r="AK266">
        <v>23</v>
      </c>
      <c r="AL266" t="s">
        <v>239</v>
      </c>
      <c r="AM266" t="s">
        <v>240</v>
      </c>
      <c r="AN266" t="s">
        <v>241</v>
      </c>
      <c r="AO266" t="s">
        <v>321</v>
      </c>
      <c r="AP266" t="s">
        <v>74</v>
      </c>
      <c r="AQ266" t="s">
        <v>74</v>
      </c>
      <c r="AR266" t="s">
        <v>311</v>
      </c>
      <c r="AS266" t="s">
        <v>322</v>
      </c>
      <c r="AT266" t="s">
        <v>4061</v>
      </c>
      <c r="AU266">
        <v>2004</v>
      </c>
      <c r="AV266">
        <v>19</v>
      </c>
      <c r="AW266">
        <v>4</v>
      </c>
      <c r="AX266" t="s">
        <v>74</v>
      </c>
      <c r="AY266" t="s">
        <v>74</v>
      </c>
      <c r="AZ266" t="s">
        <v>74</v>
      </c>
      <c r="BA266" t="s">
        <v>74</v>
      </c>
      <c r="BB266" t="s">
        <v>74</v>
      </c>
      <c r="BC266" t="s">
        <v>74</v>
      </c>
      <c r="BD266" t="s">
        <v>4075</v>
      </c>
      <c r="BE266" t="s">
        <v>4076</v>
      </c>
      <c r="BF266" t="str">
        <f>HYPERLINK("http://dx.doi.org/10.1029/2003PA000975","http://dx.doi.org/10.1029/2003PA000975")</f>
        <v>http://dx.doi.org/10.1029/2003PA000975</v>
      </c>
      <c r="BG266" t="s">
        <v>74</v>
      </c>
      <c r="BH266" t="s">
        <v>74</v>
      </c>
      <c r="BI266">
        <v>17</v>
      </c>
      <c r="BJ266" t="s">
        <v>326</v>
      </c>
      <c r="BK266" t="s">
        <v>139</v>
      </c>
      <c r="BL266" t="s">
        <v>327</v>
      </c>
      <c r="BM266" t="s">
        <v>4064</v>
      </c>
      <c r="BN266" t="s">
        <v>74</v>
      </c>
      <c r="BO266" t="s">
        <v>2236</v>
      </c>
      <c r="BP266" t="s">
        <v>74</v>
      </c>
      <c r="BQ266" t="s">
        <v>74</v>
      </c>
      <c r="BR266" t="s">
        <v>98</v>
      </c>
      <c r="BS266" t="s">
        <v>4077</v>
      </c>
      <c r="BT266" t="str">
        <f>HYPERLINK("https%3A%2F%2Fwww.webofscience.com%2Fwos%2Fwoscc%2Ffull-record%2FWOS:000224581900001","View Full Record in Web of Science")</f>
        <v>View Full Record in Web of Science</v>
      </c>
    </row>
    <row r="267" spans="1:72" x14ac:dyDescent="0.15">
      <c r="A267" t="s">
        <v>122</v>
      </c>
      <c r="B267" t="s">
        <v>4078</v>
      </c>
      <c r="C267" t="s">
        <v>74</v>
      </c>
      <c r="D267" t="s">
        <v>74</v>
      </c>
      <c r="E267" t="s">
        <v>74</v>
      </c>
      <c r="F267" t="s">
        <v>4078</v>
      </c>
      <c r="G267" t="s">
        <v>74</v>
      </c>
      <c r="H267" t="s">
        <v>74</v>
      </c>
      <c r="I267" t="s">
        <v>4079</v>
      </c>
      <c r="J267" t="s">
        <v>4080</v>
      </c>
      <c r="K267" t="s">
        <v>74</v>
      </c>
      <c r="L267" t="s">
        <v>74</v>
      </c>
      <c r="M267" t="s">
        <v>79</v>
      </c>
      <c r="N267" t="s">
        <v>126</v>
      </c>
      <c r="O267" t="s">
        <v>74</v>
      </c>
      <c r="P267" t="s">
        <v>74</v>
      </c>
      <c r="Q267" t="s">
        <v>74</v>
      </c>
      <c r="R267" t="s">
        <v>74</v>
      </c>
      <c r="S267" t="s">
        <v>74</v>
      </c>
      <c r="T267" t="s">
        <v>74</v>
      </c>
      <c r="U267" t="s">
        <v>4081</v>
      </c>
      <c r="V267" t="s">
        <v>4082</v>
      </c>
      <c r="W267" t="s">
        <v>4083</v>
      </c>
      <c r="X267" t="s">
        <v>4084</v>
      </c>
      <c r="Y267" t="s">
        <v>4085</v>
      </c>
      <c r="Z267" t="s">
        <v>4086</v>
      </c>
      <c r="AA267" t="s">
        <v>4087</v>
      </c>
      <c r="AB267" t="s">
        <v>4088</v>
      </c>
      <c r="AC267" t="s">
        <v>74</v>
      </c>
      <c r="AD267" t="s">
        <v>74</v>
      </c>
      <c r="AE267" t="s">
        <v>74</v>
      </c>
      <c r="AF267" t="s">
        <v>74</v>
      </c>
      <c r="AG267">
        <v>30</v>
      </c>
      <c r="AH267">
        <v>51</v>
      </c>
      <c r="AI267">
        <v>61</v>
      </c>
      <c r="AJ267">
        <v>4</v>
      </c>
      <c r="AK267">
        <v>35</v>
      </c>
      <c r="AL267" t="s">
        <v>2170</v>
      </c>
      <c r="AM267" t="s">
        <v>240</v>
      </c>
      <c r="AN267" t="s">
        <v>2171</v>
      </c>
      <c r="AO267" t="s">
        <v>4089</v>
      </c>
      <c r="AP267" t="s">
        <v>4090</v>
      </c>
      <c r="AQ267" t="s">
        <v>74</v>
      </c>
      <c r="AR267" t="s">
        <v>4091</v>
      </c>
      <c r="AS267" t="s">
        <v>4092</v>
      </c>
      <c r="AT267" t="s">
        <v>4093</v>
      </c>
      <c r="AU267">
        <v>2004</v>
      </c>
      <c r="AV267">
        <v>38</v>
      </c>
      <c r="AW267">
        <v>20</v>
      </c>
      <c r="AX267" t="s">
        <v>74</v>
      </c>
      <c r="AY267" t="s">
        <v>74</v>
      </c>
      <c r="AZ267" t="s">
        <v>74</v>
      </c>
      <c r="BA267" t="s">
        <v>74</v>
      </c>
      <c r="BB267">
        <v>5386</v>
      </c>
      <c r="BC267">
        <v>5392</v>
      </c>
      <c r="BD267" t="s">
        <v>74</v>
      </c>
      <c r="BE267" t="s">
        <v>4094</v>
      </c>
      <c r="BF267" t="str">
        <f>HYPERLINK("http://dx.doi.org/10.1021/es040051m","http://dx.doi.org/10.1021/es040051m")</f>
        <v>http://dx.doi.org/10.1021/es040051m</v>
      </c>
      <c r="BG267" t="s">
        <v>74</v>
      </c>
      <c r="BH267" t="s">
        <v>74</v>
      </c>
      <c r="BI267">
        <v>7</v>
      </c>
      <c r="BJ267" t="s">
        <v>2585</v>
      </c>
      <c r="BK267" t="s">
        <v>139</v>
      </c>
      <c r="BL267" t="s">
        <v>2586</v>
      </c>
      <c r="BM267" t="s">
        <v>4095</v>
      </c>
      <c r="BN267">
        <v>15543741</v>
      </c>
      <c r="BO267" t="s">
        <v>74</v>
      </c>
      <c r="BP267" t="s">
        <v>74</v>
      </c>
      <c r="BQ267" t="s">
        <v>74</v>
      </c>
      <c r="BR267" t="s">
        <v>98</v>
      </c>
      <c r="BS267" t="s">
        <v>4096</v>
      </c>
      <c r="BT267" t="str">
        <f>HYPERLINK("https%3A%2F%2Fwww.webofscience.com%2Fwos%2Fwoscc%2Ffull-record%2FWOS:000224519500024","View Full Record in Web of Science")</f>
        <v>View Full Record in Web of Science</v>
      </c>
    </row>
    <row r="268" spans="1:72" x14ac:dyDescent="0.15">
      <c r="A268" t="s">
        <v>122</v>
      </c>
      <c r="B268" t="s">
        <v>4097</v>
      </c>
      <c r="C268" t="s">
        <v>74</v>
      </c>
      <c r="D268" t="s">
        <v>74</v>
      </c>
      <c r="E268" t="s">
        <v>74</v>
      </c>
      <c r="F268" t="s">
        <v>4097</v>
      </c>
      <c r="G268" t="s">
        <v>74</v>
      </c>
      <c r="H268" t="s">
        <v>74</v>
      </c>
      <c r="I268" t="s">
        <v>4098</v>
      </c>
      <c r="J268" t="s">
        <v>475</v>
      </c>
      <c r="K268" t="s">
        <v>74</v>
      </c>
      <c r="L268" t="s">
        <v>74</v>
      </c>
      <c r="M268" t="s">
        <v>79</v>
      </c>
      <c r="N268" t="s">
        <v>126</v>
      </c>
      <c r="O268" t="s">
        <v>74</v>
      </c>
      <c r="P268" t="s">
        <v>74</v>
      </c>
      <c r="Q268" t="s">
        <v>74</v>
      </c>
      <c r="R268" t="s">
        <v>74</v>
      </c>
      <c r="S268" t="s">
        <v>74</v>
      </c>
      <c r="T268" t="s">
        <v>4099</v>
      </c>
      <c r="U268" t="s">
        <v>4100</v>
      </c>
      <c r="V268" t="s">
        <v>4101</v>
      </c>
      <c r="W268" t="s">
        <v>4102</v>
      </c>
      <c r="X268" t="s">
        <v>4103</v>
      </c>
      <c r="Y268" t="s">
        <v>502</v>
      </c>
      <c r="Z268" t="s">
        <v>4104</v>
      </c>
      <c r="AA268" t="s">
        <v>4105</v>
      </c>
      <c r="AB268" t="s">
        <v>4106</v>
      </c>
      <c r="AC268" t="s">
        <v>74</v>
      </c>
      <c r="AD268" t="s">
        <v>74</v>
      </c>
      <c r="AE268" t="s">
        <v>74</v>
      </c>
      <c r="AF268" t="s">
        <v>74</v>
      </c>
      <c r="AG268">
        <v>20</v>
      </c>
      <c r="AH268">
        <v>4</v>
      </c>
      <c r="AI268">
        <v>5</v>
      </c>
      <c r="AJ268">
        <v>1</v>
      </c>
      <c r="AK268">
        <v>2</v>
      </c>
      <c r="AL268" t="s">
        <v>239</v>
      </c>
      <c r="AM268" t="s">
        <v>240</v>
      </c>
      <c r="AN268" t="s">
        <v>241</v>
      </c>
      <c r="AO268" t="s">
        <v>484</v>
      </c>
      <c r="AP268" t="s">
        <v>485</v>
      </c>
      <c r="AQ268" t="s">
        <v>74</v>
      </c>
      <c r="AR268" t="s">
        <v>486</v>
      </c>
      <c r="AS268" t="s">
        <v>487</v>
      </c>
      <c r="AT268" t="s">
        <v>4093</v>
      </c>
      <c r="AU268">
        <v>2004</v>
      </c>
      <c r="AV268">
        <v>109</v>
      </c>
      <c r="AW268" t="s">
        <v>4107</v>
      </c>
      <c r="AX268" t="s">
        <v>74</v>
      </c>
      <c r="AY268" t="s">
        <v>74</v>
      </c>
      <c r="AZ268" t="s">
        <v>74</v>
      </c>
      <c r="BA268" t="s">
        <v>74</v>
      </c>
      <c r="BB268" t="s">
        <v>74</v>
      </c>
      <c r="BC268" t="s">
        <v>74</v>
      </c>
      <c r="BD268" t="s">
        <v>4108</v>
      </c>
      <c r="BE268" t="s">
        <v>4109</v>
      </c>
      <c r="BF268" t="str">
        <f>HYPERLINK("http://dx.doi.org/10.1029/2004JA010407","http://dx.doi.org/10.1029/2004JA010407")</f>
        <v>http://dx.doi.org/10.1029/2004JA010407</v>
      </c>
      <c r="BG268" t="s">
        <v>74</v>
      </c>
      <c r="BH268" t="s">
        <v>74</v>
      </c>
      <c r="BI268">
        <v>11</v>
      </c>
      <c r="BJ268" t="s">
        <v>491</v>
      </c>
      <c r="BK268" t="s">
        <v>139</v>
      </c>
      <c r="BL268" t="s">
        <v>491</v>
      </c>
      <c r="BM268" t="s">
        <v>4110</v>
      </c>
      <c r="BN268" t="s">
        <v>74</v>
      </c>
      <c r="BO268" t="s">
        <v>74</v>
      </c>
      <c r="BP268" t="s">
        <v>74</v>
      </c>
      <c r="BQ268" t="s">
        <v>74</v>
      </c>
      <c r="BR268" t="s">
        <v>98</v>
      </c>
      <c r="BS268" t="s">
        <v>4111</v>
      </c>
      <c r="BT268" t="str">
        <f>HYPERLINK("https%3A%2F%2Fwww.webofscience.com%2Fwos%2Fwoscc%2Ffull-record%2FWOS:000224581300004","View Full Record in Web of Science")</f>
        <v>View Full Record in Web of Science</v>
      </c>
    </row>
    <row r="269" spans="1:72" x14ac:dyDescent="0.15">
      <c r="A269" t="s">
        <v>122</v>
      </c>
      <c r="B269" t="s">
        <v>4112</v>
      </c>
      <c r="C269" t="s">
        <v>74</v>
      </c>
      <c r="D269" t="s">
        <v>74</v>
      </c>
      <c r="E269" t="s">
        <v>74</v>
      </c>
      <c r="F269" t="s">
        <v>4112</v>
      </c>
      <c r="G269" t="s">
        <v>74</v>
      </c>
      <c r="H269" t="s">
        <v>74</v>
      </c>
      <c r="I269" t="s">
        <v>4113</v>
      </c>
      <c r="J269" t="s">
        <v>365</v>
      </c>
      <c r="K269" t="s">
        <v>74</v>
      </c>
      <c r="L269" t="s">
        <v>74</v>
      </c>
      <c r="M269" t="s">
        <v>79</v>
      </c>
      <c r="N269" t="s">
        <v>840</v>
      </c>
      <c r="O269" t="s">
        <v>74</v>
      </c>
      <c r="P269" t="s">
        <v>74</v>
      </c>
      <c r="Q269" t="s">
        <v>74</v>
      </c>
      <c r="R269" t="s">
        <v>74</v>
      </c>
      <c r="S269" t="s">
        <v>74</v>
      </c>
      <c r="T269" t="s">
        <v>74</v>
      </c>
      <c r="U269" t="s">
        <v>74</v>
      </c>
      <c r="V269" t="s">
        <v>74</v>
      </c>
      <c r="W269" t="s">
        <v>74</v>
      </c>
      <c r="X269" t="s">
        <v>74</v>
      </c>
      <c r="Y269" t="s">
        <v>74</v>
      </c>
      <c r="Z269" t="s">
        <v>74</v>
      </c>
      <c r="AA269" t="s">
        <v>74</v>
      </c>
      <c r="AB269" t="s">
        <v>74</v>
      </c>
      <c r="AC269" t="s">
        <v>74</v>
      </c>
      <c r="AD269" t="s">
        <v>74</v>
      </c>
      <c r="AE269" t="s">
        <v>74</v>
      </c>
      <c r="AF269" t="s">
        <v>74</v>
      </c>
      <c r="AG269">
        <v>1</v>
      </c>
      <c r="AH269">
        <v>0</v>
      </c>
      <c r="AI269">
        <v>0</v>
      </c>
      <c r="AJ269">
        <v>0</v>
      </c>
      <c r="AK269">
        <v>2</v>
      </c>
      <c r="AL269" t="s">
        <v>374</v>
      </c>
      <c r="AM269" t="s">
        <v>375</v>
      </c>
      <c r="AN269" t="s">
        <v>376</v>
      </c>
      <c r="AO269" t="s">
        <v>377</v>
      </c>
      <c r="AP269" t="s">
        <v>74</v>
      </c>
      <c r="AQ269" t="s">
        <v>74</v>
      </c>
      <c r="AR269" t="s">
        <v>365</v>
      </c>
      <c r="AS269" t="s">
        <v>379</v>
      </c>
      <c r="AT269" t="s">
        <v>4114</v>
      </c>
      <c r="AU269">
        <v>2004</v>
      </c>
      <c r="AV269">
        <v>431</v>
      </c>
      <c r="AW269">
        <v>7010</v>
      </c>
      <c r="AX269" t="s">
        <v>74</v>
      </c>
      <c r="AY269" t="s">
        <v>74</v>
      </c>
      <c r="AZ269" t="s">
        <v>74</v>
      </c>
      <c r="BA269" t="s">
        <v>74</v>
      </c>
      <c r="BB269">
        <v>734</v>
      </c>
      <c r="BC269">
        <v>735</v>
      </c>
      <c r="BD269" t="s">
        <v>74</v>
      </c>
      <c r="BE269" t="s">
        <v>4115</v>
      </c>
      <c r="BF269" t="str">
        <f>HYPERLINK("http://dx.doi.org/10.1038/431734a","http://dx.doi.org/10.1038/431734a")</f>
        <v>http://dx.doi.org/10.1038/431734a</v>
      </c>
      <c r="BG269" t="s">
        <v>74</v>
      </c>
      <c r="BH269" t="s">
        <v>74</v>
      </c>
      <c r="BI269">
        <v>2</v>
      </c>
      <c r="BJ269" t="s">
        <v>381</v>
      </c>
      <c r="BK269" t="s">
        <v>139</v>
      </c>
      <c r="BL269" t="s">
        <v>382</v>
      </c>
      <c r="BM269" t="s">
        <v>4116</v>
      </c>
      <c r="BN269">
        <v>15483576</v>
      </c>
      <c r="BO269" t="s">
        <v>273</v>
      </c>
      <c r="BP269" t="s">
        <v>74</v>
      </c>
      <c r="BQ269" t="s">
        <v>74</v>
      </c>
      <c r="BR269" t="s">
        <v>98</v>
      </c>
      <c r="BS269" t="s">
        <v>4117</v>
      </c>
      <c r="BT269" t="str">
        <f>HYPERLINK("https%3A%2F%2Fwww.webofscience.com%2Fwos%2Fwoscc%2Ffull-record%2FWOS:000224435500012","View Full Record in Web of Science")</f>
        <v>View Full Record in Web of Science</v>
      </c>
    </row>
    <row r="270" spans="1:72" x14ac:dyDescent="0.15">
      <c r="A270" t="s">
        <v>122</v>
      </c>
      <c r="B270" t="s">
        <v>4118</v>
      </c>
      <c r="C270" t="s">
        <v>74</v>
      </c>
      <c r="D270" t="s">
        <v>74</v>
      </c>
      <c r="E270" t="s">
        <v>74</v>
      </c>
      <c r="F270" t="s">
        <v>4118</v>
      </c>
      <c r="G270" t="s">
        <v>74</v>
      </c>
      <c r="H270" t="s">
        <v>74</v>
      </c>
      <c r="I270" t="s">
        <v>4119</v>
      </c>
      <c r="J270" t="s">
        <v>1156</v>
      </c>
      <c r="K270" t="s">
        <v>74</v>
      </c>
      <c r="L270" t="s">
        <v>74</v>
      </c>
      <c r="M270" t="s">
        <v>79</v>
      </c>
      <c r="N270" t="s">
        <v>126</v>
      </c>
      <c r="O270" t="s">
        <v>74</v>
      </c>
      <c r="P270" t="s">
        <v>74</v>
      </c>
      <c r="Q270" t="s">
        <v>74</v>
      </c>
      <c r="R270" t="s">
        <v>74</v>
      </c>
      <c r="S270" t="s">
        <v>74</v>
      </c>
      <c r="T270" t="s">
        <v>4120</v>
      </c>
      <c r="U270" t="s">
        <v>4121</v>
      </c>
      <c r="V270" t="s">
        <v>4122</v>
      </c>
      <c r="W270" t="s">
        <v>4123</v>
      </c>
      <c r="X270" t="s">
        <v>4124</v>
      </c>
      <c r="Y270" t="s">
        <v>4125</v>
      </c>
      <c r="Z270" t="s">
        <v>4126</v>
      </c>
      <c r="AA270" t="s">
        <v>74</v>
      </c>
      <c r="AB270" t="s">
        <v>4127</v>
      </c>
      <c r="AC270" t="s">
        <v>74</v>
      </c>
      <c r="AD270" t="s">
        <v>74</v>
      </c>
      <c r="AE270" t="s">
        <v>74</v>
      </c>
      <c r="AF270" t="s">
        <v>74</v>
      </c>
      <c r="AG270">
        <v>27</v>
      </c>
      <c r="AH270">
        <v>38</v>
      </c>
      <c r="AI270">
        <v>40</v>
      </c>
      <c r="AJ270">
        <v>0</v>
      </c>
      <c r="AK270">
        <v>3</v>
      </c>
      <c r="AL270" t="s">
        <v>1166</v>
      </c>
      <c r="AM270" t="s">
        <v>1167</v>
      </c>
      <c r="AN270" t="s">
        <v>1168</v>
      </c>
      <c r="AO270" t="s">
        <v>1169</v>
      </c>
      <c r="AP270" t="s">
        <v>1170</v>
      </c>
      <c r="AQ270" t="s">
        <v>74</v>
      </c>
      <c r="AR270" t="s">
        <v>1171</v>
      </c>
      <c r="AS270" t="s">
        <v>1172</v>
      </c>
      <c r="AT270" t="s">
        <v>4128</v>
      </c>
      <c r="AU270">
        <v>2004</v>
      </c>
      <c r="AV270">
        <v>614</v>
      </c>
      <c r="AW270">
        <v>1</v>
      </c>
      <c r="AX270">
        <v>2</v>
      </c>
      <c r="AY270" t="s">
        <v>74</v>
      </c>
      <c r="AZ270" t="s">
        <v>74</v>
      </c>
      <c r="BA270" t="s">
        <v>74</v>
      </c>
      <c r="BB270" t="s">
        <v>4129</v>
      </c>
      <c r="BC270" t="s">
        <v>4130</v>
      </c>
      <c r="BD270" t="s">
        <v>74</v>
      </c>
      <c r="BE270" t="s">
        <v>4131</v>
      </c>
      <c r="BF270" t="str">
        <f>HYPERLINK("http://dx.doi.org/10.1086/425304","http://dx.doi.org/10.1086/425304")</f>
        <v>http://dx.doi.org/10.1086/425304</v>
      </c>
      <c r="BG270" t="s">
        <v>74</v>
      </c>
      <c r="BH270" t="s">
        <v>74</v>
      </c>
      <c r="BI270">
        <v>4</v>
      </c>
      <c r="BJ270" t="s">
        <v>491</v>
      </c>
      <c r="BK270" t="s">
        <v>139</v>
      </c>
      <c r="BL270" t="s">
        <v>491</v>
      </c>
      <c r="BM270" t="s">
        <v>4132</v>
      </c>
      <c r="BN270" t="s">
        <v>74</v>
      </c>
      <c r="BO270" t="s">
        <v>273</v>
      </c>
      <c r="BP270" t="s">
        <v>74</v>
      </c>
      <c r="BQ270" t="s">
        <v>74</v>
      </c>
      <c r="BR270" t="s">
        <v>98</v>
      </c>
      <c r="BS270" t="s">
        <v>4133</v>
      </c>
      <c r="BT270" t="str">
        <f>HYPERLINK("https%3A%2F%2Fwww.webofscience.com%2Fwos%2Fwoscc%2Ffull-record%2FWOS:000224367100011","View Full Record in Web of Science")</f>
        <v>View Full Record in Web of Science</v>
      </c>
    </row>
    <row r="271" spans="1:72" x14ac:dyDescent="0.15">
      <c r="A271" t="s">
        <v>122</v>
      </c>
      <c r="B271" t="s">
        <v>4134</v>
      </c>
      <c r="C271" t="s">
        <v>74</v>
      </c>
      <c r="D271" t="s">
        <v>74</v>
      </c>
      <c r="E271" t="s">
        <v>74</v>
      </c>
      <c r="F271" t="s">
        <v>4134</v>
      </c>
      <c r="G271" t="s">
        <v>74</v>
      </c>
      <c r="H271" t="s">
        <v>74</v>
      </c>
      <c r="I271" t="s">
        <v>4135</v>
      </c>
      <c r="J271" t="s">
        <v>311</v>
      </c>
      <c r="K271" t="s">
        <v>74</v>
      </c>
      <c r="L271" t="s">
        <v>74</v>
      </c>
      <c r="M271" t="s">
        <v>79</v>
      </c>
      <c r="N271" t="s">
        <v>126</v>
      </c>
      <c r="O271" t="s">
        <v>74</v>
      </c>
      <c r="P271" t="s">
        <v>74</v>
      </c>
      <c r="Q271" t="s">
        <v>74</v>
      </c>
      <c r="R271" t="s">
        <v>74</v>
      </c>
      <c r="S271" t="s">
        <v>74</v>
      </c>
      <c r="T271" t="s">
        <v>4136</v>
      </c>
      <c r="U271" t="s">
        <v>4137</v>
      </c>
      <c r="V271" t="s">
        <v>4138</v>
      </c>
      <c r="W271" t="s">
        <v>4139</v>
      </c>
      <c r="X271" t="s">
        <v>1018</v>
      </c>
      <c r="Y271" t="s">
        <v>4140</v>
      </c>
      <c r="Z271" t="s">
        <v>4141</v>
      </c>
      <c r="AA271" t="s">
        <v>74</v>
      </c>
      <c r="AB271" t="s">
        <v>74</v>
      </c>
      <c r="AC271" t="s">
        <v>74</v>
      </c>
      <c r="AD271" t="s">
        <v>74</v>
      </c>
      <c r="AE271" t="s">
        <v>74</v>
      </c>
      <c r="AF271" t="s">
        <v>74</v>
      </c>
      <c r="AG271">
        <v>94</v>
      </c>
      <c r="AH271">
        <v>51</v>
      </c>
      <c r="AI271">
        <v>68</v>
      </c>
      <c r="AJ271">
        <v>1</v>
      </c>
      <c r="AK271">
        <v>21</v>
      </c>
      <c r="AL271" t="s">
        <v>239</v>
      </c>
      <c r="AM271" t="s">
        <v>240</v>
      </c>
      <c r="AN271" t="s">
        <v>241</v>
      </c>
      <c r="AO271" t="s">
        <v>321</v>
      </c>
      <c r="AP271" t="s">
        <v>439</v>
      </c>
      <c r="AQ271" t="s">
        <v>74</v>
      </c>
      <c r="AR271" t="s">
        <v>311</v>
      </c>
      <c r="AS271" t="s">
        <v>322</v>
      </c>
      <c r="AT271" t="s">
        <v>4142</v>
      </c>
      <c r="AU271">
        <v>2004</v>
      </c>
      <c r="AV271">
        <v>19</v>
      </c>
      <c r="AW271">
        <v>4</v>
      </c>
      <c r="AX271" t="s">
        <v>74</v>
      </c>
      <c r="AY271" t="s">
        <v>74</v>
      </c>
      <c r="AZ271" t="s">
        <v>74</v>
      </c>
      <c r="BA271" t="s">
        <v>74</v>
      </c>
      <c r="BB271" t="s">
        <v>74</v>
      </c>
      <c r="BC271" t="s">
        <v>74</v>
      </c>
      <c r="BD271" t="s">
        <v>4143</v>
      </c>
      <c r="BE271" t="s">
        <v>4144</v>
      </c>
      <c r="BF271" t="str">
        <f>HYPERLINK("http://dx.doi.org/10.1029/2004PA001005","http://dx.doi.org/10.1029/2004PA001005")</f>
        <v>http://dx.doi.org/10.1029/2004PA001005</v>
      </c>
      <c r="BG271" t="s">
        <v>74</v>
      </c>
      <c r="BH271" t="s">
        <v>74</v>
      </c>
      <c r="BI271">
        <v>14</v>
      </c>
      <c r="BJ271" t="s">
        <v>326</v>
      </c>
      <c r="BK271" t="s">
        <v>139</v>
      </c>
      <c r="BL271" t="s">
        <v>327</v>
      </c>
      <c r="BM271" t="s">
        <v>4145</v>
      </c>
      <c r="BN271" t="s">
        <v>74</v>
      </c>
      <c r="BO271" t="s">
        <v>273</v>
      </c>
      <c r="BP271" t="s">
        <v>74</v>
      </c>
      <c r="BQ271" t="s">
        <v>74</v>
      </c>
      <c r="BR271" t="s">
        <v>98</v>
      </c>
      <c r="BS271" t="s">
        <v>4146</v>
      </c>
      <c r="BT271" t="str">
        <f>HYPERLINK("https%3A%2F%2Fwww.webofscience.com%2Fwos%2Fwoscc%2Ffull-record%2FWOS:000224431500002","View Full Record in Web of Science")</f>
        <v>View Full Record in Web of Science</v>
      </c>
    </row>
    <row r="272" spans="1:72" x14ac:dyDescent="0.15">
      <c r="A272" t="s">
        <v>122</v>
      </c>
      <c r="B272" t="s">
        <v>4147</v>
      </c>
      <c r="C272" t="s">
        <v>74</v>
      </c>
      <c r="D272" t="s">
        <v>74</v>
      </c>
      <c r="E272" t="s">
        <v>74</v>
      </c>
      <c r="F272" t="s">
        <v>4147</v>
      </c>
      <c r="G272" t="s">
        <v>74</v>
      </c>
      <c r="H272" t="s">
        <v>74</v>
      </c>
      <c r="I272" t="s">
        <v>4148</v>
      </c>
      <c r="J272" t="s">
        <v>3947</v>
      </c>
      <c r="K272" t="s">
        <v>74</v>
      </c>
      <c r="L272" t="s">
        <v>74</v>
      </c>
      <c r="M272" t="s">
        <v>79</v>
      </c>
      <c r="N272" t="s">
        <v>126</v>
      </c>
      <c r="O272" t="s">
        <v>74</v>
      </c>
      <c r="P272" t="s">
        <v>74</v>
      </c>
      <c r="Q272" t="s">
        <v>74</v>
      </c>
      <c r="R272" t="s">
        <v>74</v>
      </c>
      <c r="S272" t="s">
        <v>74</v>
      </c>
      <c r="T272" t="s">
        <v>74</v>
      </c>
      <c r="U272" t="s">
        <v>4149</v>
      </c>
      <c r="V272" t="s">
        <v>4150</v>
      </c>
      <c r="W272" t="s">
        <v>4151</v>
      </c>
      <c r="X272" t="s">
        <v>4152</v>
      </c>
      <c r="Y272" t="s">
        <v>4153</v>
      </c>
      <c r="Z272" t="s">
        <v>74</v>
      </c>
      <c r="AA272" t="s">
        <v>4154</v>
      </c>
      <c r="AB272" t="s">
        <v>4155</v>
      </c>
      <c r="AC272" t="s">
        <v>74</v>
      </c>
      <c r="AD272" t="s">
        <v>74</v>
      </c>
      <c r="AE272" t="s">
        <v>74</v>
      </c>
      <c r="AF272" t="s">
        <v>74</v>
      </c>
      <c r="AG272">
        <v>58</v>
      </c>
      <c r="AH272">
        <v>94</v>
      </c>
      <c r="AI272">
        <v>103</v>
      </c>
      <c r="AJ272">
        <v>0</v>
      </c>
      <c r="AK272">
        <v>31</v>
      </c>
      <c r="AL272" t="s">
        <v>2170</v>
      </c>
      <c r="AM272" t="s">
        <v>240</v>
      </c>
      <c r="AN272" t="s">
        <v>2171</v>
      </c>
      <c r="AO272" t="s">
        <v>3955</v>
      </c>
      <c r="AP272" t="s">
        <v>4156</v>
      </c>
      <c r="AQ272" t="s">
        <v>74</v>
      </c>
      <c r="AR272" t="s">
        <v>3956</v>
      </c>
      <c r="AS272" t="s">
        <v>3957</v>
      </c>
      <c r="AT272" t="s">
        <v>4157</v>
      </c>
      <c r="AU272">
        <v>2004</v>
      </c>
      <c r="AV272">
        <v>108</v>
      </c>
      <c r="AW272">
        <v>40</v>
      </c>
      <c r="AX272" t="s">
        <v>74</v>
      </c>
      <c r="AY272" t="s">
        <v>74</v>
      </c>
      <c r="AZ272" t="s">
        <v>74</v>
      </c>
      <c r="BA272" t="s">
        <v>74</v>
      </c>
      <c r="BB272">
        <v>15856</v>
      </c>
      <c r="BC272">
        <v>15864</v>
      </c>
      <c r="BD272" t="s">
        <v>74</v>
      </c>
      <c r="BE272" t="s">
        <v>4158</v>
      </c>
      <c r="BF272" t="str">
        <f>HYPERLINK("http://dx.doi.org/10.1021/jp048434u","http://dx.doi.org/10.1021/jp048434u")</f>
        <v>http://dx.doi.org/10.1021/jp048434u</v>
      </c>
      <c r="BG272" t="s">
        <v>74</v>
      </c>
      <c r="BH272" t="s">
        <v>74</v>
      </c>
      <c r="BI272">
        <v>9</v>
      </c>
      <c r="BJ272" t="s">
        <v>3959</v>
      </c>
      <c r="BK272" t="s">
        <v>139</v>
      </c>
      <c r="BL272" t="s">
        <v>1151</v>
      </c>
      <c r="BM272" t="s">
        <v>4159</v>
      </c>
      <c r="BN272" t="s">
        <v>74</v>
      </c>
      <c r="BO272" t="s">
        <v>74</v>
      </c>
      <c r="BP272" t="s">
        <v>74</v>
      </c>
      <c r="BQ272" t="s">
        <v>74</v>
      </c>
      <c r="BR272" t="s">
        <v>98</v>
      </c>
      <c r="BS272" t="s">
        <v>4160</v>
      </c>
      <c r="BT272" t="str">
        <f>HYPERLINK("https%3A%2F%2Fwww.webofscience.com%2Fwos%2Fwoscc%2Ffull-record%2FWOS:000224213500057","View Full Record in Web of Science")</f>
        <v>View Full Record in Web of Science</v>
      </c>
    </row>
    <row r="273" spans="1:72" x14ac:dyDescent="0.15">
      <c r="A273" t="s">
        <v>122</v>
      </c>
      <c r="B273" t="s">
        <v>4161</v>
      </c>
      <c r="C273" t="s">
        <v>74</v>
      </c>
      <c r="D273" t="s">
        <v>74</v>
      </c>
      <c r="E273" t="s">
        <v>74</v>
      </c>
      <c r="F273" t="s">
        <v>4161</v>
      </c>
      <c r="G273" t="s">
        <v>74</v>
      </c>
      <c r="H273" t="s">
        <v>74</v>
      </c>
      <c r="I273" t="s">
        <v>4162</v>
      </c>
      <c r="J273" t="s">
        <v>2283</v>
      </c>
      <c r="K273" t="s">
        <v>74</v>
      </c>
      <c r="L273" t="s">
        <v>74</v>
      </c>
      <c r="M273" t="s">
        <v>79</v>
      </c>
      <c r="N273" t="s">
        <v>581</v>
      </c>
      <c r="O273" t="s">
        <v>74</v>
      </c>
      <c r="P273" t="s">
        <v>74</v>
      </c>
      <c r="Q273" t="s">
        <v>74</v>
      </c>
      <c r="R273" t="s">
        <v>74</v>
      </c>
      <c r="S273" t="s">
        <v>74</v>
      </c>
      <c r="T273" t="s">
        <v>4163</v>
      </c>
      <c r="U273" t="s">
        <v>4164</v>
      </c>
      <c r="V273" t="s">
        <v>4165</v>
      </c>
      <c r="W273" t="s">
        <v>4166</v>
      </c>
      <c r="X273" t="s">
        <v>4167</v>
      </c>
      <c r="Y273" t="s">
        <v>4168</v>
      </c>
      <c r="Z273" t="s">
        <v>4169</v>
      </c>
      <c r="AA273" t="s">
        <v>4170</v>
      </c>
      <c r="AB273" t="s">
        <v>4171</v>
      </c>
      <c r="AC273" t="s">
        <v>74</v>
      </c>
      <c r="AD273" t="s">
        <v>74</v>
      </c>
      <c r="AE273" t="s">
        <v>74</v>
      </c>
      <c r="AF273" t="s">
        <v>74</v>
      </c>
      <c r="AG273">
        <v>225</v>
      </c>
      <c r="AH273">
        <v>90</v>
      </c>
      <c r="AI273">
        <v>97</v>
      </c>
      <c r="AJ273">
        <v>2</v>
      </c>
      <c r="AK273">
        <v>34</v>
      </c>
      <c r="AL273" t="s">
        <v>531</v>
      </c>
      <c r="AM273" t="s">
        <v>532</v>
      </c>
      <c r="AN273" t="s">
        <v>533</v>
      </c>
      <c r="AO273" t="s">
        <v>2294</v>
      </c>
      <c r="AP273" t="s">
        <v>2295</v>
      </c>
      <c r="AQ273" t="s">
        <v>74</v>
      </c>
      <c r="AR273" t="s">
        <v>2296</v>
      </c>
      <c r="AS273" t="s">
        <v>2297</v>
      </c>
      <c r="AT273" t="s">
        <v>4157</v>
      </c>
      <c r="AU273">
        <v>2004</v>
      </c>
      <c r="AV273">
        <v>213</v>
      </c>
      <c r="AW273" t="s">
        <v>2537</v>
      </c>
      <c r="AX273" t="s">
        <v>74</v>
      </c>
      <c r="AY273" t="s">
        <v>74</v>
      </c>
      <c r="AZ273" t="s">
        <v>74</v>
      </c>
      <c r="BA273" t="s">
        <v>74</v>
      </c>
      <c r="BB273">
        <v>37</v>
      </c>
      <c r="BC273">
        <v>63</v>
      </c>
      <c r="BD273" t="s">
        <v>74</v>
      </c>
      <c r="BE273" t="s">
        <v>4172</v>
      </c>
      <c r="BF273" t="str">
        <f>HYPERLINK("http://dx.doi.org/10.1016/j.palaeo.2004.06.015","http://dx.doi.org/10.1016/j.palaeo.2004.06.015")</f>
        <v>http://dx.doi.org/10.1016/j.palaeo.2004.06.015</v>
      </c>
      <c r="BG273" t="s">
        <v>74</v>
      </c>
      <c r="BH273" t="s">
        <v>74</v>
      </c>
      <c r="BI273">
        <v>27</v>
      </c>
      <c r="BJ273" t="s">
        <v>2299</v>
      </c>
      <c r="BK273" t="s">
        <v>139</v>
      </c>
      <c r="BL273" t="s">
        <v>2300</v>
      </c>
      <c r="BM273" t="s">
        <v>4173</v>
      </c>
      <c r="BN273" t="s">
        <v>74</v>
      </c>
      <c r="BO273" t="s">
        <v>74</v>
      </c>
      <c r="BP273" t="s">
        <v>74</v>
      </c>
      <c r="BQ273" t="s">
        <v>74</v>
      </c>
      <c r="BR273" t="s">
        <v>98</v>
      </c>
      <c r="BS273" t="s">
        <v>4174</v>
      </c>
      <c r="BT273" t="str">
        <f>HYPERLINK("https%3A%2F%2Fwww.webofscience.com%2Fwos%2Fwoscc%2Ffull-record%2FWOS:000224442900002","View Full Record in Web of Science")</f>
        <v>View Full Record in Web of Science</v>
      </c>
    </row>
    <row r="274" spans="1:72" x14ac:dyDescent="0.15">
      <c r="A274" t="s">
        <v>122</v>
      </c>
      <c r="B274" t="s">
        <v>4175</v>
      </c>
      <c r="C274" t="s">
        <v>74</v>
      </c>
      <c r="D274" t="s">
        <v>74</v>
      </c>
      <c r="E274" t="s">
        <v>74</v>
      </c>
      <c r="F274" t="s">
        <v>4175</v>
      </c>
      <c r="G274" t="s">
        <v>74</v>
      </c>
      <c r="H274" t="s">
        <v>74</v>
      </c>
      <c r="I274" t="s">
        <v>4176</v>
      </c>
      <c r="J274" t="s">
        <v>230</v>
      </c>
      <c r="K274" t="s">
        <v>74</v>
      </c>
      <c r="L274" t="s">
        <v>74</v>
      </c>
      <c r="M274" t="s">
        <v>79</v>
      </c>
      <c r="N274" t="s">
        <v>126</v>
      </c>
      <c r="O274" t="s">
        <v>74</v>
      </c>
      <c r="P274" t="s">
        <v>74</v>
      </c>
      <c r="Q274" t="s">
        <v>74</v>
      </c>
      <c r="R274" t="s">
        <v>74</v>
      </c>
      <c r="S274" t="s">
        <v>74</v>
      </c>
      <c r="T274" t="s">
        <v>74</v>
      </c>
      <c r="U274" t="s">
        <v>4177</v>
      </c>
      <c r="V274" t="s">
        <v>4178</v>
      </c>
      <c r="W274" t="s">
        <v>4179</v>
      </c>
      <c r="X274" t="s">
        <v>4180</v>
      </c>
      <c r="Y274" t="s">
        <v>4181</v>
      </c>
      <c r="Z274" t="s">
        <v>4182</v>
      </c>
      <c r="AA274" t="s">
        <v>4183</v>
      </c>
      <c r="AB274" t="s">
        <v>4184</v>
      </c>
      <c r="AC274" t="s">
        <v>74</v>
      </c>
      <c r="AD274" t="s">
        <v>74</v>
      </c>
      <c r="AE274" t="s">
        <v>74</v>
      </c>
      <c r="AF274" t="s">
        <v>74</v>
      </c>
      <c r="AG274">
        <v>9</v>
      </c>
      <c r="AH274">
        <v>38</v>
      </c>
      <c r="AI274">
        <v>41</v>
      </c>
      <c r="AJ274">
        <v>0</v>
      </c>
      <c r="AK274">
        <v>1</v>
      </c>
      <c r="AL274" t="s">
        <v>239</v>
      </c>
      <c r="AM274" t="s">
        <v>240</v>
      </c>
      <c r="AN274" t="s">
        <v>241</v>
      </c>
      <c r="AO274" t="s">
        <v>242</v>
      </c>
      <c r="AP274" t="s">
        <v>341</v>
      </c>
      <c r="AQ274" t="s">
        <v>74</v>
      </c>
      <c r="AR274" t="s">
        <v>243</v>
      </c>
      <c r="AS274" t="s">
        <v>244</v>
      </c>
      <c r="AT274" t="s">
        <v>4185</v>
      </c>
      <c r="AU274">
        <v>2004</v>
      </c>
      <c r="AV274">
        <v>31</v>
      </c>
      <c r="AW274">
        <v>19</v>
      </c>
      <c r="AX274" t="s">
        <v>74</v>
      </c>
      <c r="AY274" t="s">
        <v>74</v>
      </c>
      <c r="AZ274" t="s">
        <v>74</v>
      </c>
      <c r="BA274" t="s">
        <v>74</v>
      </c>
      <c r="BB274" t="s">
        <v>74</v>
      </c>
      <c r="BC274" t="s">
        <v>74</v>
      </c>
      <c r="BD274" t="s">
        <v>4186</v>
      </c>
      <c r="BE274" t="s">
        <v>4187</v>
      </c>
      <c r="BF274" t="str">
        <f>HYPERLINK("http://dx.doi.org/10.1029/2004GL020803","http://dx.doi.org/10.1029/2004GL020803")</f>
        <v>http://dx.doi.org/10.1029/2004GL020803</v>
      </c>
      <c r="BG274" t="s">
        <v>74</v>
      </c>
      <c r="BH274" t="s">
        <v>74</v>
      </c>
      <c r="BI274">
        <v>5</v>
      </c>
      <c r="BJ274" t="s">
        <v>248</v>
      </c>
      <c r="BK274" t="s">
        <v>139</v>
      </c>
      <c r="BL274" t="s">
        <v>249</v>
      </c>
      <c r="BM274" t="s">
        <v>4188</v>
      </c>
      <c r="BN274" t="s">
        <v>74</v>
      </c>
      <c r="BO274" t="s">
        <v>771</v>
      </c>
      <c r="BP274" t="s">
        <v>74</v>
      </c>
      <c r="BQ274" t="s">
        <v>74</v>
      </c>
      <c r="BR274" t="s">
        <v>98</v>
      </c>
      <c r="BS274" t="s">
        <v>4189</v>
      </c>
      <c r="BT274" t="str">
        <f>HYPERLINK("https%3A%2F%2Fwww.webofscience.com%2Fwos%2Fwoscc%2Ffull-record%2FWOS:000224429000005","View Full Record in Web of Science")</f>
        <v>View Full Record in Web of Science</v>
      </c>
    </row>
    <row r="275" spans="1:72" x14ac:dyDescent="0.15">
      <c r="A275" t="s">
        <v>122</v>
      </c>
      <c r="B275" t="s">
        <v>4190</v>
      </c>
      <c r="C275" t="s">
        <v>74</v>
      </c>
      <c r="D275" t="s">
        <v>74</v>
      </c>
      <c r="E275" t="s">
        <v>74</v>
      </c>
      <c r="F275" t="s">
        <v>4190</v>
      </c>
      <c r="G275" t="s">
        <v>74</v>
      </c>
      <c r="H275" t="s">
        <v>74</v>
      </c>
      <c r="I275" t="s">
        <v>4191</v>
      </c>
      <c r="J275" t="s">
        <v>4192</v>
      </c>
      <c r="K275" t="s">
        <v>74</v>
      </c>
      <c r="L275" t="s">
        <v>74</v>
      </c>
      <c r="M275" t="s">
        <v>79</v>
      </c>
      <c r="N275" t="s">
        <v>126</v>
      </c>
      <c r="O275" t="s">
        <v>74</v>
      </c>
      <c r="P275" t="s">
        <v>74</v>
      </c>
      <c r="Q275" t="s">
        <v>74</v>
      </c>
      <c r="R275" t="s">
        <v>74</v>
      </c>
      <c r="S275" t="s">
        <v>74</v>
      </c>
      <c r="T275" t="s">
        <v>4193</v>
      </c>
      <c r="U275" t="s">
        <v>4194</v>
      </c>
      <c r="V275" t="s">
        <v>4195</v>
      </c>
      <c r="W275" t="s">
        <v>4196</v>
      </c>
      <c r="X275" t="s">
        <v>4197</v>
      </c>
      <c r="Y275" t="s">
        <v>4198</v>
      </c>
      <c r="Z275" t="s">
        <v>4199</v>
      </c>
      <c r="AA275" t="s">
        <v>74</v>
      </c>
      <c r="AB275" t="s">
        <v>74</v>
      </c>
      <c r="AC275" t="s">
        <v>74</v>
      </c>
      <c r="AD275" t="s">
        <v>74</v>
      </c>
      <c r="AE275" t="s">
        <v>74</v>
      </c>
      <c r="AF275" t="s">
        <v>74</v>
      </c>
      <c r="AG275">
        <v>54</v>
      </c>
      <c r="AH275">
        <v>4</v>
      </c>
      <c r="AI275">
        <v>5</v>
      </c>
      <c r="AJ275">
        <v>0</v>
      </c>
      <c r="AK275">
        <v>10</v>
      </c>
      <c r="AL275" t="s">
        <v>1418</v>
      </c>
      <c r="AM275" t="s">
        <v>1419</v>
      </c>
      <c r="AN275" t="s">
        <v>1420</v>
      </c>
      <c r="AO275" t="s">
        <v>4200</v>
      </c>
      <c r="AP275" t="s">
        <v>4201</v>
      </c>
      <c r="AQ275" t="s">
        <v>74</v>
      </c>
      <c r="AR275" t="s">
        <v>4192</v>
      </c>
      <c r="AS275" t="s">
        <v>4202</v>
      </c>
      <c r="AT275" t="s">
        <v>4203</v>
      </c>
      <c r="AU275">
        <v>2004</v>
      </c>
      <c r="AV275">
        <v>75</v>
      </c>
      <c r="AW275">
        <v>2</v>
      </c>
      <c r="AX275" t="s">
        <v>74</v>
      </c>
      <c r="AY275" t="s">
        <v>74</v>
      </c>
      <c r="AZ275" t="s">
        <v>74</v>
      </c>
      <c r="BA275" t="s">
        <v>74</v>
      </c>
      <c r="BB275">
        <v>109</v>
      </c>
      <c r="BC275">
        <v>117</v>
      </c>
      <c r="BD275" t="s">
        <v>74</v>
      </c>
      <c r="BE275" t="s">
        <v>4204</v>
      </c>
      <c r="BF275" t="str">
        <f>HYPERLINK("http://dx.doi.org/10.1002/bip.20104","http://dx.doi.org/10.1002/bip.20104")</f>
        <v>http://dx.doi.org/10.1002/bip.20104</v>
      </c>
      <c r="BG275" t="s">
        <v>74</v>
      </c>
      <c r="BH275" t="s">
        <v>74</v>
      </c>
      <c r="BI275">
        <v>9</v>
      </c>
      <c r="BJ275" t="s">
        <v>4205</v>
      </c>
      <c r="BK275" t="s">
        <v>139</v>
      </c>
      <c r="BL275" t="s">
        <v>4205</v>
      </c>
      <c r="BM275" t="s">
        <v>4206</v>
      </c>
      <c r="BN275">
        <v>15356865</v>
      </c>
      <c r="BO275" t="s">
        <v>329</v>
      </c>
      <c r="BP275" t="s">
        <v>74</v>
      </c>
      <c r="BQ275" t="s">
        <v>74</v>
      </c>
      <c r="BR275" t="s">
        <v>98</v>
      </c>
      <c r="BS275" t="s">
        <v>4207</v>
      </c>
      <c r="BT275" t="str">
        <f>HYPERLINK("https%3A%2F%2Fwww.webofscience.com%2Fwos%2Fwoscc%2Ffull-record%2FWOS:000223943100002","View Full Record in Web of Science")</f>
        <v>View Full Record in Web of Science</v>
      </c>
    </row>
    <row r="276" spans="1:72" x14ac:dyDescent="0.15">
      <c r="A276" t="s">
        <v>122</v>
      </c>
      <c r="B276" t="s">
        <v>4208</v>
      </c>
      <c r="C276" t="s">
        <v>74</v>
      </c>
      <c r="D276" t="s">
        <v>74</v>
      </c>
      <c r="E276" t="s">
        <v>74</v>
      </c>
      <c r="F276" t="s">
        <v>4208</v>
      </c>
      <c r="G276" t="s">
        <v>74</v>
      </c>
      <c r="H276" t="s">
        <v>74</v>
      </c>
      <c r="I276" t="s">
        <v>4209</v>
      </c>
      <c r="J276" t="s">
        <v>255</v>
      </c>
      <c r="K276" t="s">
        <v>74</v>
      </c>
      <c r="L276" t="s">
        <v>74</v>
      </c>
      <c r="M276" t="s">
        <v>79</v>
      </c>
      <c r="N276" t="s">
        <v>126</v>
      </c>
      <c r="O276" t="s">
        <v>74</v>
      </c>
      <c r="P276" t="s">
        <v>74</v>
      </c>
      <c r="Q276" t="s">
        <v>74</v>
      </c>
      <c r="R276" t="s">
        <v>74</v>
      </c>
      <c r="S276" t="s">
        <v>74</v>
      </c>
      <c r="T276" t="s">
        <v>4210</v>
      </c>
      <c r="U276" t="s">
        <v>4211</v>
      </c>
      <c r="V276" t="s">
        <v>4212</v>
      </c>
      <c r="W276" t="s">
        <v>4213</v>
      </c>
      <c r="X276" t="s">
        <v>4214</v>
      </c>
      <c r="Y276" t="s">
        <v>4215</v>
      </c>
      <c r="Z276" t="s">
        <v>4216</v>
      </c>
      <c r="AA276" t="s">
        <v>4217</v>
      </c>
      <c r="AB276" t="s">
        <v>4218</v>
      </c>
      <c r="AC276" t="s">
        <v>74</v>
      </c>
      <c r="AD276" t="s">
        <v>74</v>
      </c>
      <c r="AE276" t="s">
        <v>74</v>
      </c>
      <c r="AF276" t="s">
        <v>74</v>
      </c>
      <c r="AG276">
        <v>40</v>
      </c>
      <c r="AH276">
        <v>13</v>
      </c>
      <c r="AI276">
        <v>15</v>
      </c>
      <c r="AJ276">
        <v>0</v>
      </c>
      <c r="AK276">
        <v>18</v>
      </c>
      <c r="AL276" t="s">
        <v>239</v>
      </c>
      <c r="AM276" t="s">
        <v>240</v>
      </c>
      <c r="AN276" t="s">
        <v>241</v>
      </c>
      <c r="AO276" t="s">
        <v>265</v>
      </c>
      <c r="AP276" t="s">
        <v>74</v>
      </c>
      <c r="AQ276" t="s">
        <v>74</v>
      </c>
      <c r="AR276" t="s">
        <v>266</v>
      </c>
      <c r="AS276" t="s">
        <v>267</v>
      </c>
      <c r="AT276" t="s">
        <v>4203</v>
      </c>
      <c r="AU276">
        <v>2004</v>
      </c>
      <c r="AV276">
        <v>5</v>
      </c>
      <c r="AW276" t="s">
        <v>74</v>
      </c>
      <c r="AX276" t="s">
        <v>74</v>
      </c>
      <c r="AY276" t="s">
        <v>74</v>
      </c>
      <c r="AZ276" t="s">
        <v>74</v>
      </c>
      <c r="BA276" t="s">
        <v>74</v>
      </c>
      <c r="BB276" t="s">
        <v>74</v>
      </c>
      <c r="BC276" t="s">
        <v>74</v>
      </c>
      <c r="BD276" t="s">
        <v>4219</v>
      </c>
      <c r="BE276" t="s">
        <v>4220</v>
      </c>
      <c r="BF276" t="str">
        <f>HYPERLINK("http://dx.doi.org/10.1029/2004GC000766","http://dx.doi.org/10.1029/2004GC000766")</f>
        <v>http://dx.doi.org/10.1029/2004GC000766</v>
      </c>
      <c r="BG276" t="s">
        <v>74</v>
      </c>
      <c r="BH276" t="s">
        <v>74</v>
      </c>
      <c r="BI276">
        <v>13</v>
      </c>
      <c r="BJ276" t="s">
        <v>271</v>
      </c>
      <c r="BK276" t="s">
        <v>139</v>
      </c>
      <c r="BL276" t="s">
        <v>271</v>
      </c>
      <c r="BM276" t="s">
        <v>4221</v>
      </c>
      <c r="BN276" t="s">
        <v>74</v>
      </c>
      <c r="BO276" t="s">
        <v>273</v>
      </c>
      <c r="BP276" t="s">
        <v>74</v>
      </c>
      <c r="BQ276" t="s">
        <v>74</v>
      </c>
      <c r="BR276" t="s">
        <v>98</v>
      </c>
      <c r="BS276" t="s">
        <v>4222</v>
      </c>
      <c r="BT276" t="str">
        <f>HYPERLINK("https%3A%2F%2Fwww.webofscience.com%2Fwos%2Fwoscc%2Ffull-record%2FWOS:000227037700002","View Full Record in Web of Science")</f>
        <v>View Full Record in Web of Science</v>
      </c>
    </row>
    <row r="277" spans="1:72" x14ac:dyDescent="0.15">
      <c r="A277" t="s">
        <v>122</v>
      </c>
      <c r="B277" t="s">
        <v>4223</v>
      </c>
      <c r="C277" t="s">
        <v>74</v>
      </c>
      <c r="D277" t="s">
        <v>74</v>
      </c>
      <c r="E277" t="s">
        <v>74</v>
      </c>
      <c r="F277" t="s">
        <v>4223</v>
      </c>
      <c r="G277" t="s">
        <v>74</v>
      </c>
      <c r="H277" t="s">
        <v>74</v>
      </c>
      <c r="I277" t="s">
        <v>4224</v>
      </c>
      <c r="J277" t="s">
        <v>4225</v>
      </c>
      <c r="K277" t="s">
        <v>74</v>
      </c>
      <c r="L277" t="s">
        <v>74</v>
      </c>
      <c r="M277" t="s">
        <v>79</v>
      </c>
      <c r="N277" t="s">
        <v>126</v>
      </c>
      <c r="O277" t="s">
        <v>74</v>
      </c>
      <c r="P277" t="s">
        <v>74</v>
      </c>
      <c r="Q277" t="s">
        <v>74</v>
      </c>
      <c r="R277" t="s">
        <v>74</v>
      </c>
      <c r="S277" t="s">
        <v>74</v>
      </c>
      <c r="T277" t="s">
        <v>74</v>
      </c>
      <c r="U277" t="s">
        <v>74</v>
      </c>
      <c r="V277" t="s">
        <v>4226</v>
      </c>
      <c r="W277" t="s">
        <v>4227</v>
      </c>
      <c r="X277" t="s">
        <v>4228</v>
      </c>
      <c r="Y277" t="s">
        <v>4229</v>
      </c>
      <c r="Z277" t="s">
        <v>4230</v>
      </c>
      <c r="AA277" t="s">
        <v>74</v>
      </c>
      <c r="AB277" t="s">
        <v>74</v>
      </c>
      <c r="AC277" t="s">
        <v>74</v>
      </c>
      <c r="AD277" t="s">
        <v>74</v>
      </c>
      <c r="AE277" t="s">
        <v>74</v>
      </c>
      <c r="AF277" t="s">
        <v>74</v>
      </c>
      <c r="AG277">
        <v>32</v>
      </c>
      <c r="AH277">
        <v>13</v>
      </c>
      <c r="AI277">
        <v>18</v>
      </c>
      <c r="AJ277">
        <v>0</v>
      </c>
      <c r="AK277">
        <v>1</v>
      </c>
      <c r="AL277" t="s">
        <v>4231</v>
      </c>
      <c r="AM277" t="s">
        <v>4232</v>
      </c>
      <c r="AN277" t="s">
        <v>4233</v>
      </c>
      <c r="AO277" t="s">
        <v>4234</v>
      </c>
      <c r="AP277" t="s">
        <v>74</v>
      </c>
      <c r="AQ277" t="s">
        <v>74</v>
      </c>
      <c r="AR277" t="s">
        <v>4225</v>
      </c>
      <c r="AS277" t="s">
        <v>4235</v>
      </c>
      <c r="AT277" t="s">
        <v>4236</v>
      </c>
      <c r="AU277">
        <v>2004</v>
      </c>
      <c r="AV277">
        <v>118</v>
      </c>
      <c r="AW277">
        <v>3</v>
      </c>
      <c r="AX277" t="s">
        <v>74</v>
      </c>
      <c r="AY277" t="s">
        <v>74</v>
      </c>
      <c r="AZ277" t="s">
        <v>74</v>
      </c>
      <c r="BA277" t="s">
        <v>74</v>
      </c>
      <c r="BB277">
        <v>112</v>
      </c>
      <c r="BC277">
        <v>120</v>
      </c>
      <c r="BD277" t="s">
        <v>74</v>
      </c>
      <c r="BE277" t="s">
        <v>74</v>
      </c>
      <c r="BF277" t="s">
        <v>74</v>
      </c>
      <c r="BG277" t="s">
        <v>74</v>
      </c>
      <c r="BH277" t="s">
        <v>74</v>
      </c>
      <c r="BI277">
        <v>9</v>
      </c>
      <c r="BJ277" t="s">
        <v>4237</v>
      </c>
      <c r="BK277" t="s">
        <v>139</v>
      </c>
      <c r="BL277" t="s">
        <v>4237</v>
      </c>
      <c r="BM277" t="s">
        <v>4238</v>
      </c>
      <c r="BN277" t="s">
        <v>74</v>
      </c>
      <c r="BO277" t="s">
        <v>74</v>
      </c>
      <c r="BP277" t="s">
        <v>74</v>
      </c>
      <c r="BQ277" t="s">
        <v>74</v>
      </c>
      <c r="BR277" t="s">
        <v>98</v>
      </c>
      <c r="BS277" t="s">
        <v>4239</v>
      </c>
      <c r="BT277" t="str">
        <f>HYPERLINK("https%3A%2F%2Fwww.webofscience.com%2Fwos%2Fwoscc%2Ffull-record%2FWOS:000227408000003","View Full Record in Web of Science")</f>
        <v>View Full Record in Web of Science</v>
      </c>
    </row>
    <row r="278" spans="1:72" x14ac:dyDescent="0.15">
      <c r="A278" t="s">
        <v>122</v>
      </c>
      <c r="B278" t="s">
        <v>4240</v>
      </c>
      <c r="C278" t="s">
        <v>74</v>
      </c>
      <c r="D278" t="s">
        <v>74</v>
      </c>
      <c r="E278" t="s">
        <v>74</v>
      </c>
      <c r="F278" t="s">
        <v>4240</v>
      </c>
      <c r="G278" t="s">
        <v>74</v>
      </c>
      <c r="H278" t="s">
        <v>74</v>
      </c>
      <c r="I278" t="s">
        <v>4241</v>
      </c>
      <c r="J278" t="s">
        <v>4242</v>
      </c>
      <c r="K278" t="s">
        <v>74</v>
      </c>
      <c r="L278" t="s">
        <v>74</v>
      </c>
      <c r="M278" t="s">
        <v>79</v>
      </c>
      <c r="N278" t="s">
        <v>126</v>
      </c>
      <c r="O278" t="s">
        <v>74</v>
      </c>
      <c r="P278" t="s">
        <v>74</v>
      </c>
      <c r="Q278" t="s">
        <v>74</v>
      </c>
      <c r="R278" t="s">
        <v>74</v>
      </c>
      <c r="S278" t="s">
        <v>74</v>
      </c>
      <c r="T278" t="s">
        <v>74</v>
      </c>
      <c r="U278" t="s">
        <v>74</v>
      </c>
      <c r="V278" t="s">
        <v>74</v>
      </c>
      <c r="W278" t="s">
        <v>4243</v>
      </c>
      <c r="X278" t="s">
        <v>4244</v>
      </c>
      <c r="Y278" t="s">
        <v>4245</v>
      </c>
      <c r="Z278" t="s">
        <v>4246</v>
      </c>
      <c r="AA278" t="s">
        <v>4247</v>
      </c>
      <c r="AB278" t="s">
        <v>4248</v>
      </c>
      <c r="AC278" t="s">
        <v>74</v>
      </c>
      <c r="AD278" t="s">
        <v>74</v>
      </c>
      <c r="AE278" t="s">
        <v>74</v>
      </c>
      <c r="AF278" t="s">
        <v>74</v>
      </c>
      <c r="AG278">
        <v>37</v>
      </c>
      <c r="AH278">
        <v>45</v>
      </c>
      <c r="AI278">
        <v>50</v>
      </c>
      <c r="AJ278">
        <v>1</v>
      </c>
      <c r="AK278">
        <v>13</v>
      </c>
      <c r="AL278" t="s">
        <v>4249</v>
      </c>
      <c r="AM278" t="s">
        <v>240</v>
      </c>
      <c r="AN278" t="s">
        <v>4250</v>
      </c>
      <c r="AO278" t="s">
        <v>4251</v>
      </c>
      <c r="AP278" t="s">
        <v>74</v>
      </c>
      <c r="AQ278" t="s">
        <v>74</v>
      </c>
      <c r="AR278" t="s">
        <v>4252</v>
      </c>
      <c r="AS278" t="s">
        <v>4253</v>
      </c>
      <c r="AT278" t="s">
        <v>4254</v>
      </c>
      <c r="AU278">
        <v>2004</v>
      </c>
      <c r="AV278">
        <v>98</v>
      </c>
      <c r="AW278">
        <v>4</v>
      </c>
      <c r="AX278" t="s">
        <v>74</v>
      </c>
      <c r="AY278" t="s">
        <v>74</v>
      </c>
      <c r="AZ278" t="s">
        <v>74</v>
      </c>
      <c r="BA278" t="s">
        <v>74</v>
      </c>
      <c r="BB278">
        <v>763</v>
      </c>
      <c r="BC278">
        <v>781</v>
      </c>
      <c r="BD278" t="s">
        <v>74</v>
      </c>
      <c r="BE278" t="s">
        <v>4255</v>
      </c>
      <c r="BF278" t="str">
        <f>HYPERLINK("http://dx.doi.org/10.2307/3216699","http://dx.doi.org/10.2307/3216699")</f>
        <v>http://dx.doi.org/10.2307/3216699</v>
      </c>
      <c r="BG278" t="s">
        <v>74</v>
      </c>
      <c r="BH278" t="s">
        <v>74</v>
      </c>
      <c r="BI278">
        <v>19</v>
      </c>
      <c r="BJ278" t="s">
        <v>4256</v>
      </c>
      <c r="BK278" t="s">
        <v>3432</v>
      </c>
      <c r="BL278" t="s">
        <v>4257</v>
      </c>
      <c r="BM278" t="s">
        <v>4258</v>
      </c>
      <c r="BN278" t="s">
        <v>74</v>
      </c>
      <c r="BO278" t="s">
        <v>988</v>
      </c>
      <c r="BP278" t="s">
        <v>74</v>
      </c>
      <c r="BQ278" t="s">
        <v>74</v>
      </c>
      <c r="BR278" t="s">
        <v>98</v>
      </c>
      <c r="BS278" t="s">
        <v>4259</v>
      </c>
      <c r="BT278" t="str">
        <f>HYPERLINK("https%3A%2F%2Fwww.webofscience.com%2Fwos%2Fwoscc%2Ffull-record%2FWOS:000225931000009","View Full Record in Web of Science")</f>
        <v>View Full Record in Web of Science</v>
      </c>
    </row>
    <row r="279" spans="1:72" x14ac:dyDescent="0.15">
      <c r="A279" t="s">
        <v>122</v>
      </c>
      <c r="B279" t="s">
        <v>4260</v>
      </c>
      <c r="C279" t="s">
        <v>74</v>
      </c>
      <c r="D279" t="s">
        <v>74</v>
      </c>
      <c r="E279" t="s">
        <v>74</v>
      </c>
      <c r="F279" t="s">
        <v>4260</v>
      </c>
      <c r="G279" t="s">
        <v>74</v>
      </c>
      <c r="H279" t="s">
        <v>74</v>
      </c>
      <c r="I279" t="s">
        <v>4261</v>
      </c>
      <c r="J279" t="s">
        <v>1107</v>
      </c>
      <c r="K279" t="s">
        <v>74</v>
      </c>
      <c r="L279" t="s">
        <v>74</v>
      </c>
      <c r="M279" t="s">
        <v>79</v>
      </c>
      <c r="N279" t="s">
        <v>126</v>
      </c>
      <c r="O279" t="s">
        <v>74</v>
      </c>
      <c r="P279" t="s">
        <v>74</v>
      </c>
      <c r="Q279" t="s">
        <v>74</v>
      </c>
      <c r="R279" t="s">
        <v>74</v>
      </c>
      <c r="S279" t="s">
        <v>74</v>
      </c>
      <c r="T279" t="s">
        <v>74</v>
      </c>
      <c r="U279" t="s">
        <v>4262</v>
      </c>
      <c r="V279" t="s">
        <v>4263</v>
      </c>
      <c r="W279" t="s">
        <v>2323</v>
      </c>
      <c r="X279" t="s">
        <v>748</v>
      </c>
      <c r="Y279" t="s">
        <v>502</v>
      </c>
      <c r="Z279" t="s">
        <v>4264</v>
      </c>
      <c r="AA279" t="s">
        <v>4265</v>
      </c>
      <c r="AB279" t="s">
        <v>4266</v>
      </c>
      <c r="AC279" t="s">
        <v>74</v>
      </c>
      <c r="AD279" t="s">
        <v>74</v>
      </c>
      <c r="AE279" t="s">
        <v>74</v>
      </c>
      <c r="AF279" t="s">
        <v>74</v>
      </c>
      <c r="AG279">
        <v>66</v>
      </c>
      <c r="AH279">
        <v>144</v>
      </c>
      <c r="AI279">
        <v>162</v>
      </c>
      <c r="AJ279">
        <v>1</v>
      </c>
      <c r="AK279">
        <v>25</v>
      </c>
      <c r="AL279" t="s">
        <v>1116</v>
      </c>
      <c r="AM279" t="s">
        <v>240</v>
      </c>
      <c r="AN279" t="s">
        <v>1117</v>
      </c>
      <c r="AO279" t="s">
        <v>1118</v>
      </c>
      <c r="AP279" t="s">
        <v>1119</v>
      </c>
      <c r="AQ279" t="s">
        <v>74</v>
      </c>
      <c r="AR279" t="s">
        <v>1120</v>
      </c>
      <c r="AS279" t="s">
        <v>1121</v>
      </c>
      <c r="AT279" t="s">
        <v>4254</v>
      </c>
      <c r="AU279">
        <v>2004</v>
      </c>
      <c r="AV279">
        <v>70</v>
      </c>
      <c r="AW279">
        <v>10</v>
      </c>
      <c r="AX279" t="s">
        <v>74</v>
      </c>
      <c r="AY279" t="s">
        <v>74</v>
      </c>
      <c r="AZ279" t="s">
        <v>74</v>
      </c>
      <c r="BA279" t="s">
        <v>74</v>
      </c>
      <c r="BB279">
        <v>5963</v>
      </c>
      <c r="BC279">
        <v>5972</v>
      </c>
      <c r="BD279" t="s">
        <v>74</v>
      </c>
      <c r="BE279" t="s">
        <v>4267</v>
      </c>
      <c r="BF279" t="str">
        <f>HYPERLINK("http://dx.doi.org/10.1128/AEM.70.10.5963-5972.2004","http://dx.doi.org/10.1128/AEM.70.10.5963-5972.2004")</f>
        <v>http://dx.doi.org/10.1128/AEM.70.10.5963-5972.2004</v>
      </c>
      <c r="BG279" t="s">
        <v>74</v>
      </c>
      <c r="BH279" t="s">
        <v>74</v>
      </c>
      <c r="BI279">
        <v>10</v>
      </c>
      <c r="BJ279" t="s">
        <v>1123</v>
      </c>
      <c r="BK279" t="s">
        <v>139</v>
      </c>
      <c r="BL279" t="s">
        <v>1123</v>
      </c>
      <c r="BM279" t="s">
        <v>4268</v>
      </c>
      <c r="BN279">
        <v>15466539</v>
      </c>
      <c r="BO279" t="s">
        <v>329</v>
      </c>
      <c r="BP279" t="s">
        <v>74</v>
      </c>
      <c r="BQ279" t="s">
        <v>74</v>
      </c>
      <c r="BR279" t="s">
        <v>98</v>
      </c>
      <c r="BS279" t="s">
        <v>4269</v>
      </c>
      <c r="BT279" t="str">
        <f>HYPERLINK("https%3A%2F%2Fwww.webofscience.com%2Fwos%2Fwoscc%2Ffull-record%2FWOS:000224356200034","View Full Record in Web of Science")</f>
        <v>View Full Record in Web of Science</v>
      </c>
    </row>
    <row r="280" spans="1:72" x14ac:dyDescent="0.15">
      <c r="A280" t="s">
        <v>122</v>
      </c>
      <c r="B280" t="s">
        <v>4270</v>
      </c>
      <c r="C280" t="s">
        <v>74</v>
      </c>
      <c r="D280" t="s">
        <v>74</v>
      </c>
      <c r="E280" t="s">
        <v>74</v>
      </c>
      <c r="F280" t="s">
        <v>4270</v>
      </c>
      <c r="G280" t="s">
        <v>74</v>
      </c>
      <c r="H280" t="s">
        <v>74</v>
      </c>
      <c r="I280" t="s">
        <v>4271</v>
      </c>
      <c r="J280" t="s">
        <v>4272</v>
      </c>
      <c r="K280" t="s">
        <v>74</v>
      </c>
      <c r="L280" t="s">
        <v>74</v>
      </c>
      <c r="M280" t="s">
        <v>79</v>
      </c>
      <c r="N280" t="s">
        <v>126</v>
      </c>
      <c r="O280" t="s">
        <v>74</v>
      </c>
      <c r="P280" t="s">
        <v>74</v>
      </c>
      <c r="Q280" t="s">
        <v>74</v>
      </c>
      <c r="R280" t="s">
        <v>74</v>
      </c>
      <c r="S280" t="s">
        <v>74</v>
      </c>
      <c r="T280" t="s">
        <v>4273</v>
      </c>
      <c r="U280" t="s">
        <v>4274</v>
      </c>
      <c r="V280" t="s">
        <v>4275</v>
      </c>
      <c r="W280" t="s">
        <v>4276</v>
      </c>
      <c r="X280" t="s">
        <v>4277</v>
      </c>
      <c r="Y280" t="s">
        <v>4278</v>
      </c>
      <c r="Z280" t="s">
        <v>4279</v>
      </c>
      <c r="AA280" t="s">
        <v>74</v>
      </c>
      <c r="AB280" t="s">
        <v>4280</v>
      </c>
      <c r="AC280" t="s">
        <v>74</v>
      </c>
      <c r="AD280" t="s">
        <v>74</v>
      </c>
      <c r="AE280" t="s">
        <v>74</v>
      </c>
      <c r="AF280" t="s">
        <v>74</v>
      </c>
      <c r="AG280">
        <v>32</v>
      </c>
      <c r="AH280">
        <v>35</v>
      </c>
      <c r="AI280">
        <v>45</v>
      </c>
      <c r="AJ280">
        <v>0</v>
      </c>
      <c r="AK280">
        <v>15</v>
      </c>
      <c r="AL280" t="s">
        <v>1509</v>
      </c>
      <c r="AM280" t="s">
        <v>613</v>
      </c>
      <c r="AN280" t="s">
        <v>1821</v>
      </c>
      <c r="AO280" t="s">
        <v>4281</v>
      </c>
      <c r="AP280" t="s">
        <v>4282</v>
      </c>
      <c r="AQ280" t="s">
        <v>74</v>
      </c>
      <c r="AR280" t="s">
        <v>4283</v>
      </c>
      <c r="AS280" t="s">
        <v>4284</v>
      </c>
      <c r="AT280" t="s">
        <v>4254</v>
      </c>
      <c r="AU280">
        <v>2004</v>
      </c>
      <c r="AV280">
        <v>182</v>
      </c>
      <c r="AW280" t="s">
        <v>1447</v>
      </c>
      <c r="AX280" t="s">
        <v>74</v>
      </c>
      <c r="AY280" t="s">
        <v>74</v>
      </c>
      <c r="AZ280" t="s">
        <v>74</v>
      </c>
      <c r="BA280" t="s">
        <v>74</v>
      </c>
      <c r="BB280">
        <v>236</v>
      </c>
      <c r="BC280">
        <v>243</v>
      </c>
      <c r="BD280" t="s">
        <v>74</v>
      </c>
      <c r="BE280" t="s">
        <v>4285</v>
      </c>
      <c r="BF280" t="str">
        <f>HYPERLINK("http://dx.doi.org/10.1007/s00203-004-0719-8","http://dx.doi.org/10.1007/s00203-004-0719-8")</f>
        <v>http://dx.doi.org/10.1007/s00203-004-0719-8</v>
      </c>
      <c r="BG280" t="s">
        <v>74</v>
      </c>
      <c r="BH280" t="s">
        <v>74</v>
      </c>
      <c r="BI280">
        <v>8</v>
      </c>
      <c r="BJ280" t="s">
        <v>1536</v>
      </c>
      <c r="BK280" t="s">
        <v>139</v>
      </c>
      <c r="BL280" t="s">
        <v>1536</v>
      </c>
      <c r="BM280" t="s">
        <v>4286</v>
      </c>
      <c r="BN280">
        <v>15340780</v>
      </c>
      <c r="BO280" t="s">
        <v>74</v>
      </c>
      <c r="BP280" t="s">
        <v>74</v>
      </c>
      <c r="BQ280" t="s">
        <v>74</v>
      </c>
      <c r="BR280" t="s">
        <v>98</v>
      </c>
      <c r="BS280" t="s">
        <v>4287</v>
      </c>
      <c r="BT280" t="str">
        <f>HYPERLINK("https%3A%2F%2Fwww.webofscience.com%2Fwos%2Fwoscc%2Ffull-record%2FWOS:000224554800016","View Full Record in Web of Science")</f>
        <v>View Full Record in Web of Science</v>
      </c>
    </row>
    <row r="281" spans="1:72" x14ac:dyDescent="0.15">
      <c r="A281" t="s">
        <v>122</v>
      </c>
      <c r="B281" t="s">
        <v>4288</v>
      </c>
      <c r="C281" t="s">
        <v>74</v>
      </c>
      <c r="D281" t="s">
        <v>74</v>
      </c>
      <c r="E281" t="s">
        <v>74</v>
      </c>
      <c r="F281" t="s">
        <v>4288</v>
      </c>
      <c r="G281" t="s">
        <v>74</v>
      </c>
      <c r="H281" t="s">
        <v>74</v>
      </c>
      <c r="I281" t="s">
        <v>4289</v>
      </c>
      <c r="J281" t="s">
        <v>4290</v>
      </c>
      <c r="K281" t="s">
        <v>74</v>
      </c>
      <c r="L281" t="s">
        <v>74</v>
      </c>
      <c r="M281" t="s">
        <v>79</v>
      </c>
      <c r="N281" t="s">
        <v>918</v>
      </c>
      <c r="O281" t="s">
        <v>74</v>
      </c>
      <c r="P281" t="s">
        <v>74</v>
      </c>
      <c r="Q281" t="s">
        <v>74</v>
      </c>
      <c r="R281" t="s">
        <v>74</v>
      </c>
      <c r="S281" t="s">
        <v>74</v>
      </c>
      <c r="T281" t="s">
        <v>74</v>
      </c>
      <c r="U281" t="s">
        <v>74</v>
      </c>
      <c r="V281" t="s">
        <v>74</v>
      </c>
      <c r="W281" t="s">
        <v>747</v>
      </c>
      <c r="X281" t="s">
        <v>748</v>
      </c>
      <c r="Y281" t="s">
        <v>4291</v>
      </c>
      <c r="Z281" t="s">
        <v>74</v>
      </c>
      <c r="AA281" t="s">
        <v>4292</v>
      </c>
      <c r="AB281" t="s">
        <v>4293</v>
      </c>
      <c r="AC281" t="s">
        <v>74</v>
      </c>
      <c r="AD281" t="s">
        <v>74</v>
      </c>
      <c r="AE281" t="s">
        <v>74</v>
      </c>
      <c r="AF281" t="s">
        <v>74</v>
      </c>
      <c r="AG281">
        <v>7</v>
      </c>
      <c r="AH281">
        <v>0</v>
      </c>
      <c r="AI281">
        <v>0</v>
      </c>
      <c r="AJ281">
        <v>0</v>
      </c>
      <c r="AK281">
        <v>2</v>
      </c>
      <c r="AL281" t="s">
        <v>1330</v>
      </c>
      <c r="AM281" t="s">
        <v>197</v>
      </c>
      <c r="AN281" t="s">
        <v>1331</v>
      </c>
      <c r="AO281" t="s">
        <v>4294</v>
      </c>
      <c r="AP281" t="s">
        <v>74</v>
      </c>
      <c r="AQ281" t="s">
        <v>74</v>
      </c>
      <c r="AR281" t="s">
        <v>4295</v>
      </c>
      <c r="AS281" t="s">
        <v>4296</v>
      </c>
      <c r="AT281" t="s">
        <v>4254</v>
      </c>
      <c r="AU281">
        <v>2004</v>
      </c>
      <c r="AV281">
        <v>45</v>
      </c>
      <c r="AW281">
        <v>5</v>
      </c>
      <c r="AX281" t="s">
        <v>74</v>
      </c>
      <c r="AY281" t="s">
        <v>74</v>
      </c>
      <c r="AZ281" t="s">
        <v>74</v>
      </c>
      <c r="BA281" t="s">
        <v>74</v>
      </c>
      <c r="BB281">
        <v>9</v>
      </c>
      <c r="BC281">
        <v>9</v>
      </c>
      <c r="BD281" t="s">
        <v>74</v>
      </c>
      <c r="BE281" t="s">
        <v>4297</v>
      </c>
      <c r="BF281" t="str">
        <f>HYPERLINK("http://dx.doi.org/10.1093/astrogeo/45.5.5.9","http://dx.doi.org/10.1093/astrogeo/45.5.5.9")</f>
        <v>http://dx.doi.org/10.1093/astrogeo/45.5.5.9</v>
      </c>
      <c r="BG281" t="s">
        <v>74</v>
      </c>
      <c r="BH281" t="s">
        <v>74</v>
      </c>
      <c r="BI281">
        <v>1</v>
      </c>
      <c r="BJ281" t="s">
        <v>4298</v>
      </c>
      <c r="BK281" t="s">
        <v>139</v>
      </c>
      <c r="BL281" t="s">
        <v>4298</v>
      </c>
      <c r="BM281" t="s">
        <v>4299</v>
      </c>
      <c r="BN281" t="s">
        <v>74</v>
      </c>
      <c r="BO281" t="s">
        <v>273</v>
      </c>
      <c r="BP281" t="s">
        <v>74</v>
      </c>
      <c r="BQ281" t="s">
        <v>74</v>
      </c>
      <c r="BR281" t="s">
        <v>98</v>
      </c>
      <c r="BS281" t="s">
        <v>4300</v>
      </c>
      <c r="BT281" t="str">
        <f>HYPERLINK("https%3A%2F%2Fwww.webofscience.com%2Fwos%2Fwoscc%2Ffull-record%2FWOS:000224134500016","View Full Record in Web of Science")</f>
        <v>View Full Record in Web of Science</v>
      </c>
    </row>
    <row r="282" spans="1:72" x14ac:dyDescent="0.15">
      <c r="A282" t="s">
        <v>122</v>
      </c>
      <c r="B282" t="s">
        <v>4301</v>
      </c>
      <c r="C282" t="s">
        <v>74</v>
      </c>
      <c r="D282" t="s">
        <v>74</v>
      </c>
      <c r="E282" t="s">
        <v>74</v>
      </c>
      <c r="F282" t="s">
        <v>4301</v>
      </c>
      <c r="G282" t="s">
        <v>74</v>
      </c>
      <c r="H282" t="s">
        <v>74</v>
      </c>
      <c r="I282" t="s">
        <v>4302</v>
      </c>
      <c r="J282" t="s">
        <v>4303</v>
      </c>
      <c r="K282" t="s">
        <v>74</v>
      </c>
      <c r="L282" t="s">
        <v>74</v>
      </c>
      <c r="M282" t="s">
        <v>79</v>
      </c>
      <c r="N282" t="s">
        <v>126</v>
      </c>
      <c r="O282" t="s">
        <v>74</v>
      </c>
      <c r="P282" t="s">
        <v>74</v>
      </c>
      <c r="Q282" t="s">
        <v>74</v>
      </c>
      <c r="R282" t="s">
        <v>74</v>
      </c>
      <c r="S282" t="s">
        <v>74</v>
      </c>
      <c r="T282" t="s">
        <v>74</v>
      </c>
      <c r="U282" t="s">
        <v>4304</v>
      </c>
      <c r="V282" t="s">
        <v>4305</v>
      </c>
      <c r="W282" t="s">
        <v>4306</v>
      </c>
      <c r="X282" t="s">
        <v>4307</v>
      </c>
      <c r="Y282" t="s">
        <v>4308</v>
      </c>
      <c r="Z282" t="s">
        <v>4309</v>
      </c>
      <c r="AA282" t="s">
        <v>4310</v>
      </c>
      <c r="AB282" t="s">
        <v>4311</v>
      </c>
      <c r="AC282" t="s">
        <v>74</v>
      </c>
      <c r="AD282" t="s">
        <v>74</v>
      </c>
      <c r="AE282" t="s">
        <v>74</v>
      </c>
      <c r="AF282" t="s">
        <v>74</v>
      </c>
      <c r="AG282">
        <v>40</v>
      </c>
      <c r="AH282">
        <v>32</v>
      </c>
      <c r="AI282">
        <v>37</v>
      </c>
      <c r="AJ282">
        <v>1</v>
      </c>
      <c r="AK282">
        <v>18</v>
      </c>
      <c r="AL282" t="s">
        <v>1273</v>
      </c>
      <c r="AM282" t="s">
        <v>197</v>
      </c>
      <c r="AN282" t="s">
        <v>1274</v>
      </c>
      <c r="AO282" t="s">
        <v>4312</v>
      </c>
      <c r="AP282" t="s">
        <v>74</v>
      </c>
      <c r="AQ282" t="s">
        <v>74</v>
      </c>
      <c r="AR282" t="s">
        <v>4313</v>
      </c>
      <c r="AS282" t="s">
        <v>4314</v>
      </c>
      <c r="AT282" t="s">
        <v>4254</v>
      </c>
      <c r="AU282">
        <v>2004</v>
      </c>
      <c r="AV282">
        <v>38</v>
      </c>
      <c r="AW282">
        <v>32</v>
      </c>
      <c r="AX282" t="s">
        <v>74</v>
      </c>
      <c r="AY282" t="s">
        <v>74</v>
      </c>
      <c r="AZ282" t="s">
        <v>74</v>
      </c>
      <c r="BA282" t="s">
        <v>74</v>
      </c>
      <c r="BB282">
        <v>5363</v>
      </c>
      <c r="BC282">
        <v>5373</v>
      </c>
      <c r="BD282" t="s">
        <v>74</v>
      </c>
      <c r="BE282" t="s">
        <v>4315</v>
      </c>
      <c r="BF282" t="str">
        <f>HYPERLINK("http://dx.doi.org/10.1016/j.atmosenv.2004.05.037","http://dx.doi.org/10.1016/j.atmosenv.2004.05.037")</f>
        <v>http://dx.doi.org/10.1016/j.atmosenv.2004.05.037</v>
      </c>
      <c r="BG282" t="s">
        <v>74</v>
      </c>
      <c r="BH282" t="s">
        <v>74</v>
      </c>
      <c r="BI282">
        <v>11</v>
      </c>
      <c r="BJ282" t="s">
        <v>832</v>
      </c>
      <c r="BK282" t="s">
        <v>139</v>
      </c>
      <c r="BL282" t="s">
        <v>833</v>
      </c>
      <c r="BM282" t="s">
        <v>4316</v>
      </c>
      <c r="BN282" t="s">
        <v>74</v>
      </c>
      <c r="BO282" t="s">
        <v>74</v>
      </c>
      <c r="BP282" t="s">
        <v>74</v>
      </c>
      <c r="BQ282" t="s">
        <v>74</v>
      </c>
      <c r="BR282" t="s">
        <v>98</v>
      </c>
      <c r="BS282" t="s">
        <v>4317</v>
      </c>
      <c r="BT282" t="str">
        <f>HYPERLINK("https%3A%2F%2Fwww.webofscience.com%2Fwos%2Fwoscc%2Ffull-record%2FWOS:000224283400001","View Full Record in Web of Science")</f>
        <v>View Full Record in Web of Science</v>
      </c>
    </row>
    <row r="283" spans="1:72" x14ac:dyDescent="0.15">
      <c r="A283" t="s">
        <v>122</v>
      </c>
      <c r="B283" t="s">
        <v>4318</v>
      </c>
      <c r="C283" t="s">
        <v>74</v>
      </c>
      <c r="D283" t="s">
        <v>74</v>
      </c>
      <c r="E283" t="s">
        <v>74</v>
      </c>
      <c r="F283" t="s">
        <v>4318</v>
      </c>
      <c r="G283" t="s">
        <v>74</v>
      </c>
      <c r="H283" t="s">
        <v>74</v>
      </c>
      <c r="I283" t="s">
        <v>4319</v>
      </c>
      <c r="J283" t="s">
        <v>4303</v>
      </c>
      <c r="K283" t="s">
        <v>74</v>
      </c>
      <c r="L283" t="s">
        <v>74</v>
      </c>
      <c r="M283" t="s">
        <v>79</v>
      </c>
      <c r="N283" t="s">
        <v>126</v>
      </c>
      <c r="O283" t="s">
        <v>74</v>
      </c>
      <c r="P283" t="s">
        <v>74</v>
      </c>
      <c r="Q283" t="s">
        <v>74</v>
      </c>
      <c r="R283" t="s">
        <v>74</v>
      </c>
      <c r="S283" t="s">
        <v>74</v>
      </c>
      <c r="T283" t="s">
        <v>4320</v>
      </c>
      <c r="U283" t="s">
        <v>4321</v>
      </c>
      <c r="V283" t="s">
        <v>4322</v>
      </c>
      <c r="W283" t="s">
        <v>4323</v>
      </c>
      <c r="X283" t="s">
        <v>4324</v>
      </c>
      <c r="Y283" t="s">
        <v>4325</v>
      </c>
      <c r="Z283" t="s">
        <v>4326</v>
      </c>
      <c r="AA283" t="s">
        <v>74</v>
      </c>
      <c r="AB283" t="s">
        <v>4327</v>
      </c>
      <c r="AC283" t="s">
        <v>74</v>
      </c>
      <c r="AD283" t="s">
        <v>74</v>
      </c>
      <c r="AE283" t="s">
        <v>74</v>
      </c>
      <c r="AF283" t="s">
        <v>74</v>
      </c>
      <c r="AG283">
        <v>18</v>
      </c>
      <c r="AH283">
        <v>55</v>
      </c>
      <c r="AI283">
        <v>63</v>
      </c>
      <c r="AJ283">
        <v>0</v>
      </c>
      <c r="AK283">
        <v>11</v>
      </c>
      <c r="AL283" t="s">
        <v>1273</v>
      </c>
      <c r="AM283" t="s">
        <v>197</v>
      </c>
      <c r="AN283" t="s">
        <v>1274</v>
      </c>
      <c r="AO283" t="s">
        <v>4312</v>
      </c>
      <c r="AP283" t="s">
        <v>74</v>
      </c>
      <c r="AQ283" t="s">
        <v>74</v>
      </c>
      <c r="AR283" t="s">
        <v>4313</v>
      </c>
      <c r="AS283" t="s">
        <v>4314</v>
      </c>
      <c r="AT283" t="s">
        <v>4254</v>
      </c>
      <c r="AU283">
        <v>2004</v>
      </c>
      <c r="AV283">
        <v>38</v>
      </c>
      <c r="AW283">
        <v>32</v>
      </c>
      <c r="AX283" t="s">
        <v>74</v>
      </c>
      <c r="AY283" t="s">
        <v>74</v>
      </c>
      <c r="AZ283" t="s">
        <v>74</v>
      </c>
      <c r="BA283" t="s">
        <v>74</v>
      </c>
      <c r="BB283">
        <v>5389</v>
      </c>
      <c r="BC283">
        <v>5398</v>
      </c>
      <c r="BD283" t="s">
        <v>74</v>
      </c>
      <c r="BE283" t="s">
        <v>4328</v>
      </c>
      <c r="BF283" t="str">
        <f>HYPERLINK("http://dx.doi.org/10.1016/j.atmosenv.2004.05.053","http://dx.doi.org/10.1016/j.atmosenv.2004.05.053")</f>
        <v>http://dx.doi.org/10.1016/j.atmosenv.2004.05.053</v>
      </c>
      <c r="BG283" t="s">
        <v>74</v>
      </c>
      <c r="BH283" t="s">
        <v>74</v>
      </c>
      <c r="BI283">
        <v>10</v>
      </c>
      <c r="BJ283" t="s">
        <v>832</v>
      </c>
      <c r="BK283" t="s">
        <v>139</v>
      </c>
      <c r="BL283" t="s">
        <v>833</v>
      </c>
      <c r="BM283" t="s">
        <v>4316</v>
      </c>
      <c r="BN283" t="s">
        <v>74</v>
      </c>
      <c r="BO283" t="s">
        <v>74</v>
      </c>
      <c r="BP283" t="s">
        <v>74</v>
      </c>
      <c r="BQ283" t="s">
        <v>74</v>
      </c>
      <c r="BR283" t="s">
        <v>98</v>
      </c>
      <c r="BS283" t="s">
        <v>4329</v>
      </c>
      <c r="BT283" t="str">
        <f>HYPERLINK("https%3A%2F%2Fwww.webofscience.com%2Fwos%2Fwoscc%2Ffull-record%2FWOS:000224283400003","View Full Record in Web of Science")</f>
        <v>View Full Record in Web of Science</v>
      </c>
    </row>
    <row r="284" spans="1:72" x14ac:dyDescent="0.15">
      <c r="A284" t="s">
        <v>122</v>
      </c>
      <c r="B284" t="s">
        <v>4330</v>
      </c>
      <c r="C284" t="s">
        <v>74</v>
      </c>
      <c r="D284" t="s">
        <v>74</v>
      </c>
      <c r="E284" t="s">
        <v>74</v>
      </c>
      <c r="F284" t="s">
        <v>4330</v>
      </c>
      <c r="G284" t="s">
        <v>74</v>
      </c>
      <c r="H284" t="s">
        <v>74</v>
      </c>
      <c r="I284" t="s">
        <v>4331</v>
      </c>
      <c r="J284" t="s">
        <v>4303</v>
      </c>
      <c r="K284" t="s">
        <v>74</v>
      </c>
      <c r="L284" t="s">
        <v>74</v>
      </c>
      <c r="M284" t="s">
        <v>79</v>
      </c>
      <c r="N284" t="s">
        <v>126</v>
      </c>
      <c r="O284" t="s">
        <v>74</v>
      </c>
      <c r="P284" t="s">
        <v>74</v>
      </c>
      <c r="Q284" t="s">
        <v>74</v>
      </c>
      <c r="R284" t="s">
        <v>74</v>
      </c>
      <c r="S284" t="s">
        <v>74</v>
      </c>
      <c r="T284" t="s">
        <v>4332</v>
      </c>
      <c r="U284" t="s">
        <v>4333</v>
      </c>
      <c r="V284" t="s">
        <v>4334</v>
      </c>
      <c r="W284" t="s">
        <v>4335</v>
      </c>
      <c r="X284" t="s">
        <v>4336</v>
      </c>
      <c r="Y284" t="s">
        <v>4337</v>
      </c>
      <c r="Z284" t="s">
        <v>4338</v>
      </c>
      <c r="AA284" t="s">
        <v>4339</v>
      </c>
      <c r="AB284" t="s">
        <v>4340</v>
      </c>
      <c r="AC284" t="s">
        <v>74</v>
      </c>
      <c r="AD284" t="s">
        <v>74</v>
      </c>
      <c r="AE284" t="s">
        <v>74</v>
      </c>
      <c r="AF284" t="s">
        <v>74</v>
      </c>
      <c r="AG284">
        <v>30</v>
      </c>
      <c r="AH284">
        <v>73</v>
      </c>
      <c r="AI284">
        <v>86</v>
      </c>
      <c r="AJ284">
        <v>0</v>
      </c>
      <c r="AK284">
        <v>44</v>
      </c>
      <c r="AL284" t="s">
        <v>1273</v>
      </c>
      <c r="AM284" t="s">
        <v>197</v>
      </c>
      <c r="AN284" t="s">
        <v>1274</v>
      </c>
      <c r="AO284" t="s">
        <v>4312</v>
      </c>
      <c r="AP284" t="s">
        <v>4341</v>
      </c>
      <c r="AQ284" t="s">
        <v>74</v>
      </c>
      <c r="AR284" t="s">
        <v>4313</v>
      </c>
      <c r="AS284" t="s">
        <v>4314</v>
      </c>
      <c r="AT284" t="s">
        <v>4254</v>
      </c>
      <c r="AU284">
        <v>2004</v>
      </c>
      <c r="AV284">
        <v>38</v>
      </c>
      <c r="AW284">
        <v>32</v>
      </c>
      <c r="AX284" t="s">
        <v>74</v>
      </c>
      <c r="AY284" t="s">
        <v>74</v>
      </c>
      <c r="AZ284" t="s">
        <v>74</v>
      </c>
      <c r="BA284" t="s">
        <v>74</v>
      </c>
      <c r="BB284">
        <v>5411</v>
      </c>
      <c r="BC284">
        <v>5421</v>
      </c>
      <c r="BD284" t="s">
        <v>74</v>
      </c>
      <c r="BE284" t="s">
        <v>4342</v>
      </c>
      <c r="BF284" t="str">
        <f>HYPERLINK("http://dx.doi.org/10.1016/j.atmosenv.2004.04.037","http://dx.doi.org/10.1016/j.atmosenv.2004.04.037")</f>
        <v>http://dx.doi.org/10.1016/j.atmosenv.2004.04.037</v>
      </c>
      <c r="BG284" t="s">
        <v>74</v>
      </c>
      <c r="BH284" t="s">
        <v>74</v>
      </c>
      <c r="BI284">
        <v>11</v>
      </c>
      <c r="BJ284" t="s">
        <v>832</v>
      </c>
      <c r="BK284" t="s">
        <v>139</v>
      </c>
      <c r="BL284" t="s">
        <v>833</v>
      </c>
      <c r="BM284" t="s">
        <v>4316</v>
      </c>
      <c r="BN284" t="s">
        <v>74</v>
      </c>
      <c r="BO284" t="s">
        <v>74</v>
      </c>
      <c r="BP284" t="s">
        <v>74</v>
      </c>
      <c r="BQ284" t="s">
        <v>74</v>
      </c>
      <c r="BR284" t="s">
        <v>98</v>
      </c>
      <c r="BS284" t="s">
        <v>4343</v>
      </c>
      <c r="BT284" t="str">
        <f>HYPERLINK("https%3A%2F%2Fwww.webofscience.com%2Fwos%2Fwoscc%2Ffull-record%2FWOS:000224283400005","View Full Record in Web of Science")</f>
        <v>View Full Record in Web of Science</v>
      </c>
    </row>
    <row r="285" spans="1:72" x14ac:dyDescent="0.15">
      <c r="A285" t="s">
        <v>122</v>
      </c>
      <c r="B285" t="s">
        <v>4344</v>
      </c>
      <c r="C285" t="s">
        <v>74</v>
      </c>
      <c r="D285" t="s">
        <v>74</v>
      </c>
      <c r="E285" t="s">
        <v>74</v>
      </c>
      <c r="F285" t="s">
        <v>4344</v>
      </c>
      <c r="G285" t="s">
        <v>74</v>
      </c>
      <c r="H285" t="s">
        <v>74</v>
      </c>
      <c r="I285" t="s">
        <v>4345</v>
      </c>
      <c r="J285" t="s">
        <v>4303</v>
      </c>
      <c r="K285" t="s">
        <v>74</v>
      </c>
      <c r="L285" t="s">
        <v>74</v>
      </c>
      <c r="M285" t="s">
        <v>79</v>
      </c>
      <c r="N285" t="s">
        <v>126</v>
      </c>
      <c r="O285" t="s">
        <v>74</v>
      </c>
      <c r="P285" t="s">
        <v>74</v>
      </c>
      <c r="Q285" t="s">
        <v>74</v>
      </c>
      <c r="R285" t="s">
        <v>74</v>
      </c>
      <c r="S285" t="s">
        <v>74</v>
      </c>
      <c r="T285" t="s">
        <v>4346</v>
      </c>
      <c r="U285" t="s">
        <v>4347</v>
      </c>
      <c r="V285" t="s">
        <v>4348</v>
      </c>
      <c r="W285" t="s">
        <v>4349</v>
      </c>
      <c r="X285" t="s">
        <v>4350</v>
      </c>
      <c r="Y285" t="s">
        <v>4351</v>
      </c>
      <c r="Z285" t="s">
        <v>4352</v>
      </c>
      <c r="AA285" t="s">
        <v>4353</v>
      </c>
      <c r="AB285" t="s">
        <v>4354</v>
      </c>
      <c r="AC285" t="s">
        <v>74</v>
      </c>
      <c r="AD285" t="s">
        <v>74</v>
      </c>
      <c r="AE285" t="s">
        <v>74</v>
      </c>
      <c r="AF285" t="s">
        <v>74</v>
      </c>
      <c r="AG285">
        <v>28</v>
      </c>
      <c r="AH285">
        <v>67</v>
      </c>
      <c r="AI285">
        <v>80</v>
      </c>
      <c r="AJ285">
        <v>1</v>
      </c>
      <c r="AK285">
        <v>15</v>
      </c>
      <c r="AL285" t="s">
        <v>1273</v>
      </c>
      <c r="AM285" t="s">
        <v>197</v>
      </c>
      <c r="AN285" t="s">
        <v>1274</v>
      </c>
      <c r="AO285" t="s">
        <v>4312</v>
      </c>
      <c r="AP285" t="s">
        <v>4341</v>
      </c>
      <c r="AQ285" t="s">
        <v>74</v>
      </c>
      <c r="AR285" t="s">
        <v>4313</v>
      </c>
      <c r="AS285" t="s">
        <v>4314</v>
      </c>
      <c r="AT285" t="s">
        <v>4254</v>
      </c>
      <c r="AU285">
        <v>2004</v>
      </c>
      <c r="AV285">
        <v>38</v>
      </c>
      <c r="AW285">
        <v>32</v>
      </c>
      <c r="AX285" t="s">
        <v>74</v>
      </c>
      <c r="AY285" t="s">
        <v>74</v>
      </c>
      <c r="AZ285" t="s">
        <v>74</v>
      </c>
      <c r="BA285" t="s">
        <v>74</v>
      </c>
      <c r="BB285">
        <v>5423</v>
      </c>
      <c r="BC285">
        <v>5437</v>
      </c>
      <c r="BD285" t="s">
        <v>74</v>
      </c>
      <c r="BE285" t="s">
        <v>4355</v>
      </c>
      <c r="BF285" t="str">
        <f>HYPERLINK("http://dx.doi.org/10.1016/j.atmosenv.2004.06.031","http://dx.doi.org/10.1016/j.atmosenv.2004.06.031")</f>
        <v>http://dx.doi.org/10.1016/j.atmosenv.2004.06.031</v>
      </c>
      <c r="BG285" t="s">
        <v>74</v>
      </c>
      <c r="BH285" t="s">
        <v>74</v>
      </c>
      <c r="BI285">
        <v>15</v>
      </c>
      <c r="BJ285" t="s">
        <v>832</v>
      </c>
      <c r="BK285" t="s">
        <v>139</v>
      </c>
      <c r="BL285" t="s">
        <v>833</v>
      </c>
      <c r="BM285" t="s">
        <v>4316</v>
      </c>
      <c r="BN285" t="s">
        <v>74</v>
      </c>
      <c r="BO285" t="s">
        <v>74</v>
      </c>
      <c r="BP285" t="s">
        <v>74</v>
      </c>
      <c r="BQ285" t="s">
        <v>74</v>
      </c>
      <c r="BR285" t="s">
        <v>98</v>
      </c>
      <c r="BS285" t="s">
        <v>4356</v>
      </c>
      <c r="BT285" t="str">
        <f>HYPERLINK("https%3A%2F%2Fwww.webofscience.com%2Fwos%2Fwoscc%2Ffull-record%2FWOS:000224283400006","View Full Record in Web of Science")</f>
        <v>View Full Record in Web of Science</v>
      </c>
    </row>
    <row r="286" spans="1:72" x14ac:dyDescent="0.15">
      <c r="A286" t="s">
        <v>122</v>
      </c>
      <c r="B286" t="s">
        <v>4357</v>
      </c>
      <c r="C286" t="s">
        <v>74</v>
      </c>
      <c r="D286" t="s">
        <v>74</v>
      </c>
      <c r="E286" t="s">
        <v>74</v>
      </c>
      <c r="F286" t="s">
        <v>4357</v>
      </c>
      <c r="G286" t="s">
        <v>74</v>
      </c>
      <c r="H286" t="s">
        <v>74</v>
      </c>
      <c r="I286" t="s">
        <v>4358</v>
      </c>
      <c r="J286" t="s">
        <v>4303</v>
      </c>
      <c r="K286" t="s">
        <v>74</v>
      </c>
      <c r="L286" t="s">
        <v>74</v>
      </c>
      <c r="M286" t="s">
        <v>79</v>
      </c>
      <c r="N286" t="s">
        <v>126</v>
      </c>
      <c r="O286" t="s">
        <v>74</v>
      </c>
      <c r="P286" t="s">
        <v>74</v>
      </c>
      <c r="Q286" t="s">
        <v>74</v>
      </c>
      <c r="R286" t="s">
        <v>74</v>
      </c>
      <c r="S286" t="s">
        <v>74</v>
      </c>
      <c r="T286" t="s">
        <v>4359</v>
      </c>
      <c r="U286" t="s">
        <v>4360</v>
      </c>
      <c r="V286" t="s">
        <v>4361</v>
      </c>
      <c r="W286" t="s">
        <v>4362</v>
      </c>
      <c r="X286" t="s">
        <v>4363</v>
      </c>
      <c r="Y286" t="s">
        <v>4364</v>
      </c>
      <c r="Z286" t="s">
        <v>4365</v>
      </c>
      <c r="AA286" t="s">
        <v>4366</v>
      </c>
      <c r="AB286" t="s">
        <v>4367</v>
      </c>
      <c r="AC286" t="s">
        <v>74</v>
      </c>
      <c r="AD286" t="s">
        <v>74</v>
      </c>
      <c r="AE286" t="s">
        <v>74</v>
      </c>
      <c r="AF286" t="s">
        <v>74</v>
      </c>
      <c r="AG286">
        <v>31</v>
      </c>
      <c r="AH286">
        <v>65</v>
      </c>
      <c r="AI286">
        <v>72</v>
      </c>
      <c r="AJ286">
        <v>1</v>
      </c>
      <c r="AK286">
        <v>13</v>
      </c>
      <c r="AL286" t="s">
        <v>1273</v>
      </c>
      <c r="AM286" t="s">
        <v>197</v>
      </c>
      <c r="AN286" t="s">
        <v>1274</v>
      </c>
      <c r="AO286" t="s">
        <v>4312</v>
      </c>
      <c r="AP286" t="s">
        <v>74</v>
      </c>
      <c r="AQ286" t="s">
        <v>74</v>
      </c>
      <c r="AR286" t="s">
        <v>4313</v>
      </c>
      <c r="AS286" t="s">
        <v>4314</v>
      </c>
      <c r="AT286" t="s">
        <v>4254</v>
      </c>
      <c r="AU286">
        <v>2004</v>
      </c>
      <c r="AV286">
        <v>38</v>
      </c>
      <c r="AW286">
        <v>32</v>
      </c>
      <c r="AX286" t="s">
        <v>74</v>
      </c>
      <c r="AY286" t="s">
        <v>74</v>
      </c>
      <c r="AZ286" t="s">
        <v>74</v>
      </c>
      <c r="BA286" t="s">
        <v>74</v>
      </c>
      <c r="BB286">
        <v>5451</v>
      </c>
      <c r="BC286">
        <v>5461</v>
      </c>
      <c r="BD286" t="s">
        <v>74</v>
      </c>
      <c r="BE286" t="s">
        <v>4368</v>
      </c>
      <c r="BF286" t="str">
        <f>HYPERLINK("http://dx.doi.org/10.1016/j.atmosenv.2003.07.018","http://dx.doi.org/10.1016/j.atmosenv.2003.07.018")</f>
        <v>http://dx.doi.org/10.1016/j.atmosenv.2003.07.018</v>
      </c>
      <c r="BG286" t="s">
        <v>74</v>
      </c>
      <c r="BH286" t="s">
        <v>74</v>
      </c>
      <c r="BI286">
        <v>11</v>
      </c>
      <c r="BJ286" t="s">
        <v>832</v>
      </c>
      <c r="BK286" t="s">
        <v>139</v>
      </c>
      <c r="BL286" t="s">
        <v>833</v>
      </c>
      <c r="BM286" t="s">
        <v>4316</v>
      </c>
      <c r="BN286" t="s">
        <v>74</v>
      </c>
      <c r="BO286" t="s">
        <v>329</v>
      </c>
      <c r="BP286" t="s">
        <v>74</v>
      </c>
      <c r="BQ286" t="s">
        <v>74</v>
      </c>
      <c r="BR286" t="s">
        <v>98</v>
      </c>
      <c r="BS286" t="s">
        <v>4369</v>
      </c>
      <c r="BT286" t="str">
        <f>HYPERLINK("https%3A%2F%2Fwww.webofscience.com%2Fwos%2Fwoscc%2Ffull-record%2FWOS:000224283400008","View Full Record in Web of Science")</f>
        <v>View Full Record in Web of Science</v>
      </c>
    </row>
    <row r="287" spans="1:72" x14ac:dyDescent="0.15">
      <c r="A287" t="s">
        <v>122</v>
      </c>
      <c r="B287" t="s">
        <v>4370</v>
      </c>
      <c r="C287" t="s">
        <v>74</v>
      </c>
      <c r="D287" t="s">
        <v>74</v>
      </c>
      <c r="E287" t="s">
        <v>74</v>
      </c>
      <c r="F287" t="s">
        <v>4370</v>
      </c>
      <c r="G287" t="s">
        <v>74</v>
      </c>
      <c r="H287" t="s">
        <v>74</v>
      </c>
      <c r="I287" t="s">
        <v>4371</v>
      </c>
      <c r="J287" t="s">
        <v>4303</v>
      </c>
      <c r="K287" t="s">
        <v>74</v>
      </c>
      <c r="L287" t="s">
        <v>74</v>
      </c>
      <c r="M287" t="s">
        <v>79</v>
      </c>
      <c r="N287" t="s">
        <v>126</v>
      </c>
      <c r="O287" t="s">
        <v>74</v>
      </c>
      <c r="P287" t="s">
        <v>74</v>
      </c>
      <c r="Q287" t="s">
        <v>74</v>
      </c>
      <c r="R287" t="s">
        <v>74</v>
      </c>
      <c r="S287" t="s">
        <v>74</v>
      </c>
      <c r="T287" t="s">
        <v>4372</v>
      </c>
      <c r="U287" t="s">
        <v>4373</v>
      </c>
      <c r="V287" t="s">
        <v>4374</v>
      </c>
      <c r="W287" t="s">
        <v>4375</v>
      </c>
      <c r="X287" t="s">
        <v>4376</v>
      </c>
      <c r="Y287" t="s">
        <v>4377</v>
      </c>
      <c r="Z287" t="s">
        <v>4378</v>
      </c>
      <c r="AA287" t="s">
        <v>4379</v>
      </c>
      <c r="AB287" t="s">
        <v>4380</v>
      </c>
      <c r="AC287" t="s">
        <v>74</v>
      </c>
      <c r="AD287" t="s">
        <v>74</v>
      </c>
      <c r="AE287" t="s">
        <v>74</v>
      </c>
      <c r="AF287" t="s">
        <v>74</v>
      </c>
      <c r="AG287">
        <v>36</v>
      </c>
      <c r="AH287">
        <v>12</v>
      </c>
      <c r="AI287">
        <v>13</v>
      </c>
      <c r="AJ287">
        <v>1</v>
      </c>
      <c r="AK287">
        <v>22</v>
      </c>
      <c r="AL287" t="s">
        <v>1273</v>
      </c>
      <c r="AM287" t="s">
        <v>197</v>
      </c>
      <c r="AN287" t="s">
        <v>1274</v>
      </c>
      <c r="AO287" t="s">
        <v>4312</v>
      </c>
      <c r="AP287" t="s">
        <v>4341</v>
      </c>
      <c r="AQ287" t="s">
        <v>74</v>
      </c>
      <c r="AR287" t="s">
        <v>4313</v>
      </c>
      <c r="AS287" t="s">
        <v>4314</v>
      </c>
      <c r="AT287" t="s">
        <v>4254</v>
      </c>
      <c r="AU287">
        <v>2004</v>
      </c>
      <c r="AV287">
        <v>38</v>
      </c>
      <c r="AW287">
        <v>32</v>
      </c>
      <c r="AX287" t="s">
        <v>74</v>
      </c>
      <c r="AY287" t="s">
        <v>74</v>
      </c>
      <c r="AZ287" t="s">
        <v>74</v>
      </c>
      <c r="BA287" t="s">
        <v>74</v>
      </c>
      <c r="BB287">
        <v>5463</v>
      </c>
      <c r="BC287">
        <v>5472</v>
      </c>
      <c r="BD287" t="s">
        <v>74</v>
      </c>
      <c r="BE287" t="s">
        <v>4381</v>
      </c>
      <c r="BF287" t="str">
        <f>HYPERLINK("http://dx.doi.org/10.1016/j.atmosenv.2004.03.072","http://dx.doi.org/10.1016/j.atmosenv.2004.03.072")</f>
        <v>http://dx.doi.org/10.1016/j.atmosenv.2004.03.072</v>
      </c>
      <c r="BG287" t="s">
        <v>74</v>
      </c>
      <c r="BH287" t="s">
        <v>74</v>
      </c>
      <c r="BI287">
        <v>10</v>
      </c>
      <c r="BJ287" t="s">
        <v>832</v>
      </c>
      <c r="BK287" t="s">
        <v>139</v>
      </c>
      <c r="BL287" t="s">
        <v>833</v>
      </c>
      <c r="BM287" t="s">
        <v>4316</v>
      </c>
      <c r="BN287" t="s">
        <v>74</v>
      </c>
      <c r="BO287" t="s">
        <v>329</v>
      </c>
      <c r="BP287" t="s">
        <v>74</v>
      </c>
      <c r="BQ287" t="s">
        <v>74</v>
      </c>
      <c r="BR287" t="s">
        <v>98</v>
      </c>
      <c r="BS287" t="s">
        <v>4382</v>
      </c>
      <c r="BT287" t="str">
        <f>HYPERLINK("https%3A%2F%2Fwww.webofscience.com%2Fwos%2Fwoscc%2Ffull-record%2FWOS:000224283400009","View Full Record in Web of Science")</f>
        <v>View Full Record in Web of Science</v>
      </c>
    </row>
    <row r="288" spans="1:72" x14ac:dyDescent="0.15">
      <c r="A288" t="s">
        <v>122</v>
      </c>
      <c r="B288" t="s">
        <v>4383</v>
      </c>
      <c r="C288" t="s">
        <v>74</v>
      </c>
      <c r="D288" t="s">
        <v>74</v>
      </c>
      <c r="E288" t="s">
        <v>74</v>
      </c>
      <c r="F288" t="s">
        <v>4383</v>
      </c>
      <c r="G288" t="s">
        <v>74</v>
      </c>
      <c r="H288" t="s">
        <v>74</v>
      </c>
      <c r="I288" t="s">
        <v>4384</v>
      </c>
      <c r="J288" t="s">
        <v>4303</v>
      </c>
      <c r="K288" t="s">
        <v>74</v>
      </c>
      <c r="L288" t="s">
        <v>74</v>
      </c>
      <c r="M288" t="s">
        <v>79</v>
      </c>
      <c r="N288" t="s">
        <v>126</v>
      </c>
      <c r="O288" t="s">
        <v>74</v>
      </c>
      <c r="P288" t="s">
        <v>74</v>
      </c>
      <c r="Q288" t="s">
        <v>74</v>
      </c>
      <c r="R288" t="s">
        <v>74</v>
      </c>
      <c r="S288" t="s">
        <v>74</v>
      </c>
      <c r="T288" t="s">
        <v>4385</v>
      </c>
      <c r="U288" t="s">
        <v>4386</v>
      </c>
      <c r="V288" t="s">
        <v>4387</v>
      </c>
      <c r="W288" t="s">
        <v>4388</v>
      </c>
      <c r="X288" t="s">
        <v>4389</v>
      </c>
      <c r="Y288" t="s">
        <v>4390</v>
      </c>
      <c r="Z288" t="s">
        <v>4391</v>
      </c>
      <c r="AA288" t="s">
        <v>74</v>
      </c>
      <c r="AB288" t="s">
        <v>74</v>
      </c>
      <c r="AC288" t="s">
        <v>74</v>
      </c>
      <c r="AD288" t="s">
        <v>74</v>
      </c>
      <c r="AE288" t="s">
        <v>74</v>
      </c>
      <c r="AF288" t="s">
        <v>74</v>
      </c>
      <c r="AG288">
        <v>64</v>
      </c>
      <c r="AH288">
        <v>35</v>
      </c>
      <c r="AI288">
        <v>39</v>
      </c>
      <c r="AJ288">
        <v>0</v>
      </c>
      <c r="AK288">
        <v>13</v>
      </c>
      <c r="AL288" t="s">
        <v>1273</v>
      </c>
      <c r="AM288" t="s">
        <v>197</v>
      </c>
      <c r="AN288" t="s">
        <v>1274</v>
      </c>
      <c r="AO288" t="s">
        <v>4312</v>
      </c>
      <c r="AP288" t="s">
        <v>4341</v>
      </c>
      <c r="AQ288" t="s">
        <v>74</v>
      </c>
      <c r="AR288" t="s">
        <v>4313</v>
      </c>
      <c r="AS288" t="s">
        <v>4314</v>
      </c>
      <c r="AT288" t="s">
        <v>4254</v>
      </c>
      <c r="AU288">
        <v>2004</v>
      </c>
      <c r="AV288">
        <v>38</v>
      </c>
      <c r="AW288">
        <v>32</v>
      </c>
      <c r="AX288" t="s">
        <v>74</v>
      </c>
      <c r="AY288" t="s">
        <v>74</v>
      </c>
      <c r="AZ288" t="s">
        <v>74</v>
      </c>
      <c r="BA288" t="s">
        <v>74</v>
      </c>
      <c r="BB288">
        <v>5473</v>
      </c>
      <c r="BC288">
        <v>5484</v>
      </c>
      <c r="BD288" t="s">
        <v>74</v>
      </c>
      <c r="BE288" t="s">
        <v>4392</v>
      </c>
      <c r="BF288" t="str">
        <f>HYPERLINK("http://dx.doi.org/10.1016/j.atmosenv.2004.01.049","http://dx.doi.org/10.1016/j.atmosenv.2004.01.049")</f>
        <v>http://dx.doi.org/10.1016/j.atmosenv.2004.01.049</v>
      </c>
      <c r="BG288" t="s">
        <v>74</v>
      </c>
      <c r="BH288" t="s">
        <v>74</v>
      </c>
      <c r="BI288">
        <v>12</v>
      </c>
      <c r="BJ288" t="s">
        <v>832</v>
      </c>
      <c r="BK288" t="s">
        <v>139</v>
      </c>
      <c r="BL288" t="s">
        <v>833</v>
      </c>
      <c r="BM288" t="s">
        <v>4316</v>
      </c>
      <c r="BN288" t="s">
        <v>74</v>
      </c>
      <c r="BO288" t="s">
        <v>74</v>
      </c>
      <c r="BP288" t="s">
        <v>74</v>
      </c>
      <c r="BQ288" t="s">
        <v>74</v>
      </c>
      <c r="BR288" t="s">
        <v>98</v>
      </c>
      <c r="BS288" t="s">
        <v>4393</v>
      </c>
      <c r="BT288" t="str">
        <f>HYPERLINK("https%3A%2F%2Fwww.webofscience.com%2Fwos%2Fwoscc%2Ffull-record%2FWOS:000224283400010","View Full Record in Web of Science")</f>
        <v>View Full Record in Web of Science</v>
      </c>
    </row>
    <row r="289" spans="1:72" x14ac:dyDescent="0.15">
      <c r="A289" t="s">
        <v>122</v>
      </c>
      <c r="B289" t="s">
        <v>4394</v>
      </c>
      <c r="C289" t="s">
        <v>74</v>
      </c>
      <c r="D289" t="s">
        <v>74</v>
      </c>
      <c r="E289" t="s">
        <v>74</v>
      </c>
      <c r="F289" t="s">
        <v>4394</v>
      </c>
      <c r="G289" t="s">
        <v>74</v>
      </c>
      <c r="H289" t="s">
        <v>74</v>
      </c>
      <c r="I289" t="s">
        <v>4395</v>
      </c>
      <c r="J289" t="s">
        <v>4303</v>
      </c>
      <c r="K289" t="s">
        <v>74</v>
      </c>
      <c r="L289" t="s">
        <v>74</v>
      </c>
      <c r="M289" t="s">
        <v>79</v>
      </c>
      <c r="N289" t="s">
        <v>126</v>
      </c>
      <c r="O289" t="s">
        <v>74</v>
      </c>
      <c r="P289" t="s">
        <v>74</v>
      </c>
      <c r="Q289" t="s">
        <v>74</v>
      </c>
      <c r="R289" t="s">
        <v>74</v>
      </c>
      <c r="S289" t="s">
        <v>74</v>
      </c>
      <c r="T289" t="s">
        <v>4396</v>
      </c>
      <c r="U289" t="s">
        <v>4397</v>
      </c>
      <c r="V289" t="s">
        <v>4398</v>
      </c>
      <c r="W289" t="s">
        <v>4399</v>
      </c>
      <c r="X289" t="s">
        <v>4400</v>
      </c>
      <c r="Y289" t="s">
        <v>4390</v>
      </c>
      <c r="Z289" t="s">
        <v>4391</v>
      </c>
      <c r="AA289" t="s">
        <v>74</v>
      </c>
      <c r="AB289" t="s">
        <v>74</v>
      </c>
      <c r="AC289" t="s">
        <v>74</v>
      </c>
      <c r="AD289" t="s">
        <v>74</v>
      </c>
      <c r="AE289" t="s">
        <v>74</v>
      </c>
      <c r="AF289" t="s">
        <v>74</v>
      </c>
      <c r="AG289">
        <v>45</v>
      </c>
      <c r="AH289">
        <v>19</v>
      </c>
      <c r="AI289">
        <v>22</v>
      </c>
      <c r="AJ289">
        <v>1</v>
      </c>
      <c r="AK289">
        <v>23</v>
      </c>
      <c r="AL289" t="s">
        <v>1273</v>
      </c>
      <c r="AM289" t="s">
        <v>197</v>
      </c>
      <c r="AN289" t="s">
        <v>1274</v>
      </c>
      <c r="AO289" t="s">
        <v>4312</v>
      </c>
      <c r="AP289" t="s">
        <v>4341</v>
      </c>
      <c r="AQ289" t="s">
        <v>74</v>
      </c>
      <c r="AR289" t="s">
        <v>4313</v>
      </c>
      <c r="AS289" t="s">
        <v>4314</v>
      </c>
      <c r="AT289" t="s">
        <v>4254</v>
      </c>
      <c r="AU289">
        <v>2004</v>
      </c>
      <c r="AV289">
        <v>38</v>
      </c>
      <c r="AW289">
        <v>32</v>
      </c>
      <c r="AX289" t="s">
        <v>74</v>
      </c>
      <c r="AY289" t="s">
        <v>74</v>
      </c>
      <c r="AZ289" t="s">
        <v>74</v>
      </c>
      <c r="BA289" t="s">
        <v>74</v>
      </c>
      <c r="BB289">
        <v>5485</v>
      </c>
      <c r="BC289">
        <v>5491</v>
      </c>
      <c r="BD289" t="s">
        <v>74</v>
      </c>
      <c r="BE289" t="s">
        <v>4401</v>
      </c>
      <c r="BF289" t="str">
        <f>HYPERLINK("http://dx.doi.org/10.1016/j.atmosenv.2004.03.073","http://dx.doi.org/10.1016/j.atmosenv.2004.03.073")</f>
        <v>http://dx.doi.org/10.1016/j.atmosenv.2004.03.073</v>
      </c>
      <c r="BG289" t="s">
        <v>74</v>
      </c>
      <c r="BH289" t="s">
        <v>74</v>
      </c>
      <c r="BI289">
        <v>7</v>
      </c>
      <c r="BJ289" t="s">
        <v>832</v>
      </c>
      <c r="BK289" t="s">
        <v>139</v>
      </c>
      <c r="BL289" t="s">
        <v>833</v>
      </c>
      <c r="BM289" t="s">
        <v>4316</v>
      </c>
      <c r="BN289" t="s">
        <v>74</v>
      </c>
      <c r="BO289" t="s">
        <v>74</v>
      </c>
      <c r="BP289" t="s">
        <v>74</v>
      </c>
      <c r="BQ289" t="s">
        <v>74</v>
      </c>
      <c r="BR289" t="s">
        <v>98</v>
      </c>
      <c r="BS289" t="s">
        <v>4402</v>
      </c>
      <c r="BT289" t="str">
        <f>HYPERLINK("https%3A%2F%2Fwww.webofscience.com%2Fwos%2Fwoscc%2Ffull-record%2FWOS:000224283400011","View Full Record in Web of Science")</f>
        <v>View Full Record in Web of Science</v>
      </c>
    </row>
    <row r="290" spans="1:72" x14ac:dyDescent="0.15">
      <c r="A290" t="s">
        <v>122</v>
      </c>
      <c r="B290" t="s">
        <v>4403</v>
      </c>
      <c r="C290" t="s">
        <v>74</v>
      </c>
      <c r="D290" t="s">
        <v>74</v>
      </c>
      <c r="E290" t="s">
        <v>74</v>
      </c>
      <c r="F290" t="s">
        <v>4403</v>
      </c>
      <c r="G290" t="s">
        <v>74</v>
      </c>
      <c r="H290" t="s">
        <v>74</v>
      </c>
      <c r="I290" t="s">
        <v>4404</v>
      </c>
      <c r="J290" t="s">
        <v>4303</v>
      </c>
      <c r="K290" t="s">
        <v>74</v>
      </c>
      <c r="L290" t="s">
        <v>74</v>
      </c>
      <c r="M290" t="s">
        <v>79</v>
      </c>
      <c r="N290" t="s">
        <v>126</v>
      </c>
      <c r="O290" t="s">
        <v>74</v>
      </c>
      <c r="P290" t="s">
        <v>74</v>
      </c>
      <c r="Q290" t="s">
        <v>74</v>
      </c>
      <c r="R290" t="s">
        <v>74</v>
      </c>
      <c r="S290" t="s">
        <v>74</v>
      </c>
      <c r="T290" t="s">
        <v>4405</v>
      </c>
      <c r="U290" t="s">
        <v>4406</v>
      </c>
      <c r="V290" t="s">
        <v>4407</v>
      </c>
      <c r="W290" t="s">
        <v>4408</v>
      </c>
      <c r="X290" t="s">
        <v>4409</v>
      </c>
      <c r="Y290" t="s">
        <v>4410</v>
      </c>
      <c r="Z290" t="s">
        <v>4411</v>
      </c>
      <c r="AA290" t="s">
        <v>4412</v>
      </c>
      <c r="AB290" t="s">
        <v>74</v>
      </c>
      <c r="AC290" t="s">
        <v>74</v>
      </c>
      <c r="AD290" t="s">
        <v>74</v>
      </c>
      <c r="AE290" t="s">
        <v>74</v>
      </c>
      <c r="AF290" t="s">
        <v>74</v>
      </c>
      <c r="AG290">
        <v>37</v>
      </c>
      <c r="AH290">
        <v>44</v>
      </c>
      <c r="AI290">
        <v>46</v>
      </c>
      <c r="AJ290">
        <v>0</v>
      </c>
      <c r="AK290">
        <v>14</v>
      </c>
      <c r="AL290" t="s">
        <v>1273</v>
      </c>
      <c r="AM290" t="s">
        <v>197</v>
      </c>
      <c r="AN290" t="s">
        <v>1274</v>
      </c>
      <c r="AO290" t="s">
        <v>4312</v>
      </c>
      <c r="AP290" t="s">
        <v>4341</v>
      </c>
      <c r="AQ290" t="s">
        <v>74</v>
      </c>
      <c r="AR290" t="s">
        <v>4313</v>
      </c>
      <c r="AS290" t="s">
        <v>4314</v>
      </c>
      <c r="AT290" t="s">
        <v>4254</v>
      </c>
      <c r="AU290">
        <v>2004</v>
      </c>
      <c r="AV290">
        <v>38</v>
      </c>
      <c r="AW290">
        <v>32</v>
      </c>
      <c r="AX290" t="s">
        <v>74</v>
      </c>
      <c r="AY290" t="s">
        <v>74</v>
      </c>
      <c r="AZ290" t="s">
        <v>74</v>
      </c>
      <c r="BA290" t="s">
        <v>74</v>
      </c>
      <c r="BB290">
        <v>5493</v>
      </c>
      <c r="BC290">
        <v>5500</v>
      </c>
      <c r="BD290" t="s">
        <v>74</v>
      </c>
      <c r="BE290" t="s">
        <v>4413</v>
      </c>
      <c r="BF290" t="str">
        <f>HYPERLINK("http://dx.doi.org/10.1016/j.atmosenv.2002.12.001","http://dx.doi.org/10.1016/j.atmosenv.2002.12.001")</f>
        <v>http://dx.doi.org/10.1016/j.atmosenv.2002.12.001</v>
      </c>
      <c r="BG290" t="s">
        <v>74</v>
      </c>
      <c r="BH290" t="s">
        <v>74</v>
      </c>
      <c r="BI290">
        <v>8</v>
      </c>
      <c r="BJ290" t="s">
        <v>832</v>
      </c>
      <c r="BK290" t="s">
        <v>139</v>
      </c>
      <c r="BL290" t="s">
        <v>833</v>
      </c>
      <c r="BM290" t="s">
        <v>4316</v>
      </c>
      <c r="BN290" t="s">
        <v>74</v>
      </c>
      <c r="BO290" t="s">
        <v>74</v>
      </c>
      <c r="BP290" t="s">
        <v>74</v>
      </c>
      <c r="BQ290" t="s">
        <v>74</v>
      </c>
      <c r="BR290" t="s">
        <v>98</v>
      </c>
      <c r="BS290" t="s">
        <v>4414</v>
      </c>
      <c r="BT290" t="str">
        <f>HYPERLINK("https%3A%2F%2Fwww.webofscience.com%2Fwos%2Fwoscc%2Ffull-record%2FWOS:000224283400012","View Full Record in Web of Science")</f>
        <v>View Full Record in Web of Science</v>
      </c>
    </row>
    <row r="291" spans="1:72" x14ac:dyDescent="0.15">
      <c r="A291" t="s">
        <v>122</v>
      </c>
      <c r="B291" t="s">
        <v>4415</v>
      </c>
      <c r="C291" t="s">
        <v>74</v>
      </c>
      <c r="D291" t="s">
        <v>74</v>
      </c>
      <c r="E291" t="s">
        <v>74</v>
      </c>
      <c r="F291" t="s">
        <v>4415</v>
      </c>
      <c r="G291" t="s">
        <v>74</v>
      </c>
      <c r="H291" t="s">
        <v>74</v>
      </c>
      <c r="I291" t="s">
        <v>4416</v>
      </c>
      <c r="J291" t="s">
        <v>4303</v>
      </c>
      <c r="K291" t="s">
        <v>74</v>
      </c>
      <c r="L291" t="s">
        <v>74</v>
      </c>
      <c r="M291" t="s">
        <v>79</v>
      </c>
      <c r="N291" t="s">
        <v>126</v>
      </c>
      <c r="O291" t="s">
        <v>74</v>
      </c>
      <c r="P291" t="s">
        <v>74</v>
      </c>
      <c r="Q291" t="s">
        <v>74</v>
      </c>
      <c r="R291" t="s">
        <v>74</v>
      </c>
      <c r="S291" t="s">
        <v>74</v>
      </c>
      <c r="T291" t="s">
        <v>4417</v>
      </c>
      <c r="U291" t="s">
        <v>4418</v>
      </c>
      <c r="V291" t="s">
        <v>4419</v>
      </c>
      <c r="W291" t="s">
        <v>4420</v>
      </c>
      <c r="X291" t="s">
        <v>4421</v>
      </c>
      <c r="Y291" t="s">
        <v>4422</v>
      </c>
      <c r="Z291" t="s">
        <v>4423</v>
      </c>
      <c r="AA291" t="s">
        <v>4424</v>
      </c>
      <c r="AB291" t="s">
        <v>4425</v>
      </c>
      <c r="AC291" t="s">
        <v>74</v>
      </c>
      <c r="AD291" t="s">
        <v>74</v>
      </c>
      <c r="AE291" t="s">
        <v>74</v>
      </c>
      <c r="AF291" t="s">
        <v>74</v>
      </c>
      <c r="AG291">
        <v>56</v>
      </c>
      <c r="AH291">
        <v>57</v>
      </c>
      <c r="AI291">
        <v>61</v>
      </c>
      <c r="AJ291">
        <v>0</v>
      </c>
      <c r="AK291">
        <v>24</v>
      </c>
      <c r="AL291" t="s">
        <v>1273</v>
      </c>
      <c r="AM291" t="s">
        <v>197</v>
      </c>
      <c r="AN291" t="s">
        <v>1274</v>
      </c>
      <c r="AO291" t="s">
        <v>4312</v>
      </c>
      <c r="AP291" t="s">
        <v>74</v>
      </c>
      <c r="AQ291" t="s">
        <v>74</v>
      </c>
      <c r="AR291" t="s">
        <v>4313</v>
      </c>
      <c r="AS291" t="s">
        <v>4314</v>
      </c>
      <c r="AT291" t="s">
        <v>4254</v>
      </c>
      <c r="AU291">
        <v>2004</v>
      </c>
      <c r="AV291">
        <v>38</v>
      </c>
      <c r="AW291">
        <v>33</v>
      </c>
      <c r="AX291" t="s">
        <v>74</v>
      </c>
      <c r="AY291" t="s">
        <v>74</v>
      </c>
      <c r="AZ291" t="s">
        <v>74</v>
      </c>
      <c r="BA291" t="s">
        <v>74</v>
      </c>
      <c r="BB291">
        <v>5611</v>
      </c>
      <c r="BC291">
        <v>5621</v>
      </c>
      <c r="BD291" t="s">
        <v>74</v>
      </c>
      <c r="BE291" t="s">
        <v>4426</v>
      </c>
      <c r="BF291" t="str">
        <f>HYPERLINK("http://dx.doi.org/10.1016/j.atmosenv.2004.06.028","http://dx.doi.org/10.1016/j.atmosenv.2004.06.028")</f>
        <v>http://dx.doi.org/10.1016/j.atmosenv.2004.06.028</v>
      </c>
      <c r="BG291" t="s">
        <v>74</v>
      </c>
      <c r="BH291" t="s">
        <v>74</v>
      </c>
      <c r="BI291">
        <v>11</v>
      </c>
      <c r="BJ291" t="s">
        <v>832</v>
      </c>
      <c r="BK291" t="s">
        <v>139</v>
      </c>
      <c r="BL291" t="s">
        <v>833</v>
      </c>
      <c r="BM291" t="s">
        <v>4427</v>
      </c>
      <c r="BN291" t="s">
        <v>74</v>
      </c>
      <c r="BO291" t="s">
        <v>74</v>
      </c>
      <c r="BP291" t="s">
        <v>74</v>
      </c>
      <c r="BQ291" t="s">
        <v>74</v>
      </c>
      <c r="BR291" t="s">
        <v>98</v>
      </c>
      <c r="BS291" t="s">
        <v>4428</v>
      </c>
      <c r="BT291" t="str">
        <f>HYPERLINK("https%3A%2F%2Fwww.webofscience.com%2Fwos%2Fwoscc%2Ffull-record%2FWOS:000224656900010","View Full Record in Web of Science")</f>
        <v>View Full Record in Web of Science</v>
      </c>
    </row>
    <row r="292" spans="1:72" x14ac:dyDescent="0.15">
      <c r="A292" t="s">
        <v>122</v>
      </c>
      <c r="B292" t="s">
        <v>4429</v>
      </c>
      <c r="C292" t="s">
        <v>74</v>
      </c>
      <c r="D292" t="s">
        <v>74</v>
      </c>
      <c r="E292" t="s">
        <v>74</v>
      </c>
      <c r="F292" t="s">
        <v>4429</v>
      </c>
      <c r="G292" t="s">
        <v>74</v>
      </c>
      <c r="H292" t="s">
        <v>74</v>
      </c>
      <c r="I292" t="s">
        <v>4430</v>
      </c>
      <c r="J292" t="s">
        <v>4431</v>
      </c>
      <c r="K292" t="s">
        <v>74</v>
      </c>
      <c r="L292" t="s">
        <v>74</v>
      </c>
      <c r="M292" t="s">
        <v>79</v>
      </c>
      <c r="N292" t="s">
        <v>126</v>
      </c>
      <c r="O292" t="s">
        <v>74</v>
      </c>
      <c r="P292" t="s">
        <v>74</v>
      </c>
      <c r="Q292" t="s">
        <v>74</v>
      </c>
      <c r="R292" t="s">
        <v>74</v>
      </c>
      <c r="S292" t="s">
        <v>74</v>
      </c>
      <c r="T292" t="s">
        <v>74</v>
      </c>
      <c r="U292" t="s">
        <v>4432</v>
      </c>
      <c r="V292" t="s">
        <v>4433</v>
      </c>
      <c r="W292" t="s">
        <v>2323</v>
      </c>
      <c r="X292" t="s">
        <v>748</v>
      </c>
      <c r="Y292" t="s">
        <v>4434</v>
      </c>
      <c r="Z292" t="s">
        <v>4435</v>
      </c>
      <c r="AA292" t="s">
        <v>4436</v>
      </c>
      <c r="AB292" t="s">
        <v>4437</v>
      </c>
      <c r="AC292" t="s">
        <v>74</v>
      </c>
      <c r="AD292" t="s">
        <v>74</v>
      </c>
      <c r="AE292" t="s">
        <v>74</v>
      </c>
      <c r="AF292" t="s">
        <v>74</v>
      </c>
      <c r="AG292">
        <v>23</v>
      </c>
      <c r="AH292">
        <v>29</v>
      </c>
      <c r="AI292">
        <v>34</v>
      </c>
      <c r="AJ292">
        <v>0</v>
      </c>
      <c r="AK292">
        <v>14</v>
      </c>
      <c r="AL292" t="s">
        <v>4438</v>
      </c>
      <c r="AM292" t="s">
        <v>3641</v>
      </c>
      <c r="AN292" t="s">
        <v>4439</v>
      </c>
      <c r="AO292" t="s">
        <v>4440</v>
      </c>
      <c r="AP292" t="s">
        <v>74</v>
      </c>
      <c r="AQ292" t="s">
        <v>74</v>
      </c>
      <c r="AR292" t="s">
        <v>4431</v>
      </c>
      <c r="AS292" t="s">
        <v>4431</v>
      </c>
      <c r="AT292" t="s">
        <v>4254</v>
      </c>
      <c r="AU292">
        <v>2004</v>
      </c>
      <c r="AV292">
        <v>121</v>
      </c>
      <c r="AW292">
        <v>4</v>
      </c>
      <c r="AX292" t="s">
        <v>74</v>
      </c>
      <c r="AY292" t="s">
        <v>74</v>
      </c>
      <c r="AZ292" t="s">
        <v>74</v>
      </c>
      <c r="BA292" t="s">
        <v>74</v>
      </c>
      <c r="BB292">
        <v>1208</v>
      </c>
      <c r="BC292">
        <v>1213</v>
      </c>
      <c r="BD292" t="s">
        <v>74</v>
      </c>
      <c r="BE292" t="s">
        <v>4441</v>
      </c>
      <c r="BF292" t="str">
        <f>HYPERLINK("http://dx.doi.org/10.1642/0004-8038(2004)121[1208:SFTBAG]2.0.CO;2","http://dx.doi.org/10.1642/0004-8038(2004)121[1208:SFTBAG]2.0.CO;2")</f>
        <v>http://dx.doi.org/10.1642/0004-8038(2004)121[1208:SFTBAG]2.0.CO;2</v>
      </c>
      <c r="BG292" t="s">
        <v>74</v>
      </c>
      <c r="BH292" t="s">
        <v>74</v>
      </c>
      <c r="BI292">
        <v>6</v>
      </c>
      <c r="BJ292" t="s">
        <v>2055</v>
      </c>
      <c r="BK292" t="s">
        <v>139</v>
      </c>
      <c r="BL292" t="s">
        <v>205</v>
      </c>
      <c r="BM292" t="s">
        <v>4442</v>
      </c>
      <c r="BN292" t="s">
        <v>74</v>
      </c>
      <c r="BO292" t="s">
        <v>74</v>
      </c>
      <c r="BP292" t="s">
        <v>74</v>
      </c>
      <c r="BQ292" t="s">
        <v>74</v>
      </c>
      <c r="BR292" t="s">
        <v>98</v>
      </c>
      <c r="BS292" t="s">
        <v>4443</v>
      </c>
      <c r="BT292" t="str">
        <f>HYPERLINK("https%3A%2F%2Fwww.webofscience.com%2Fwos%2Fwoscc%2Ffull-record%2FWOS:000224756500019","View Full Record in Web of Science")</f>
        <v>View Full Record in Web of Science</v>
      </c>
    </row>
    <row r="293" spans="1:72" x14ac:dyDescent="0.15">
      <c r="A293" t="s">
        <v>122</v>
      </c>
      <c r="B293" t="s">
        <v>4444</v>
      </c>
      <c r="C293" t="s">
        <v>74</v>
      </c>
      <c r="D293" t="s">
        <v>74</v>
      </c>
      <c r="E293" t="s">
        <v>74</v>
      </c>
      <c r="F293" t="s">
        <v>4444</v>
      </c>
      <c r="G293" t="s">
        <v>74</v>
      </c>
      <c r="H293" t="s">
        <v>74</v>
      </c>
      <c r="I293" t="s">
        <v>4445</v>
      </c>
      <c r="J293" t="s">
        <v>4446</v>
      </c>
      <c r="K293" t="s">
        <v>74</v>
      </c>
      <c r="L293" t="s">
        <v>74</v>
      </c>
      <c r="M293" t="s">
        <v>79</v>
      </c>
      <c r="N293" t="s">
        <v>126</v>
      </c>
      <c r="O293" t="s">
        <v>74</v>
      </c>
      <c r="P293" t="s">
        <v>74</v>
      </c>
      <c r="Q293" t="s">
        <v>74</v>
      </c>
      <c r="R293" t="s">
        <v>74</v>
      </c>
      <c r="S293" t="s">
        <v>74</v>
      </c>
      <c r="T293" t="s">
        <v>4447</v>
      </c>
      <c r="U293" t="s">
        <v>4448</v>
      </c>
      <c r="V293" t="s">
        <v>4449</v>
      </c>
      <c r="W293" t="s">
        <v>4450</v>
      </c>
      <c r="X293" t="s">
        <v>4451</v>
      </c>
      <c r="Y293" t="s">
        <v>4452</v>
      </c>
      <c r="Z293" t="s">
        <v>4453</v>
      </c>
      <c r="AA293" t="s">
        <v>4454</v>
      </c>
      <c r="AB293" t="s">
        <v>4455</v>
      </c>
      <c r="AC293" t="s">
        <v>74</v>
      </c>
      <c r="AD293" t="s">
        <v>74</v>
      </c>
      <c r="AE293" t="s">
        <v>74</v>
      </c>
      <c r="AF293" t="s">
        <v>74</v>
      </c>
      <c r="AG293">
        <v>48</v>
      </c>
      <c r="AH293">
        <v>78</v>
      </c>
      <c r="AI293">
        <v>86</v>
      </c>
      <c r="AJ293">
        <v>1</v>
      </c>
      <c r="AK293">
        <v>81</v>
      </c>
      <c r="AL293" t="s">
        <v>3797</v>
      </c>
      <c r="AM293" t="s">
        <v>197</v>
      </c>
      <c r="AN293" t="s">
        <v>3798</v>
      </c>
      <c r="AO293" t="s">
        <v>4456</v>
      </c>
      <c r="AP293" t="s">
        <v>4457</v>
      </c>
      <c r="AQ293" t="s">
        <v>74</v>
      </c>
      <c r="AR293" t="s">
        <v>4458</v>
      </c>
      <c r="AS293" t="s">
        <v>4459</v>
      </c>
      <c r="AT293" t="s">
        <v>4254</v>
      </c>
      <c r="AU293">
        <v>2004</v>
      </c>
      <c r="AV293">
        <v>119</v>
      </c>
      <c r="AW293">
        <v>3</v>
      </c>
      <c r="AX293" t="s">
        <v>74</v>
      </c>
      <c r="AY293" t="s">
        <v>74</v>
      </c>
      <c r="AZ293" t="s">
        <v>74</v>
      </c>
      <c r="BA293" t="s">
        <v>74</v>
      </c>
      <c r="BB293">
        <v>341</v>
      </c>
      <c r="BC293">
        <v>350</v>
      </c>
      <c r="BD293" t="s">
        <v>74</v>
      </c>
      <c r="BE293" t="s">
        <v>4460</v>
      </c>
      <c r="BF293" t="str">
        <f>HYPERLINK("http://dx.doi.org/10.1016/j.biocon.2003.11.017","http://dx.doi.org/10.1016/j.biocon.2003.11.017")</f>
        <v>http://dx.doi.org/10.1016/j.biocon.2003.11.017</v>
      </c>
      <c r="BG293" t="s">
        <v>74</v>
      </c>
      <c r="BH293" t="s">
        <v>74</v>
      </c>
      <c r="BI293">
        <v>10</v>
      </c>
      <c r="BJ293" t="s">
        <v>1336</v>
      </c>
      <c r="BK293" t="s">
        <v>139</v>
      </c>
      <c r="BL293" t="s">
        <v>1337</v>
      </c>
      <c r="BM293" t="s">
        <v>4461</v>
      </c>
      <c r="BN293" t="s">
        <v>74</v>
      </c>
      <c r="BO293" t="s">
        <v>74</v>
      </c>
      <c r="BP293" t="s">
        <v>74</v>
      </c>
      <c r="BQ293" t="s">
        <v>74</v>
      </c>
      <c r="BR293" t="s">
        <v>98</v>
      </c>
      <c r="BS293" t="s">
        <v>4462</v>
      </c>
      <c r="BT293" t="str">
        <f>HYPERLINK("https%3A%2F%2Fwww.webofscience.com%2Fwos%2Fwoscc%2Ffull-record%2FWOS:000222733600006","View Full Record in Web of Science")</f>
        <v>View Full Record in Web of Science</v>
      </c>
    </row>
    <row r="294" spans="1:72" x14ac:dyDescent="0.15">
      <c r="A294" t="s">
        <v>122</v>
      </c>
      <c r="B294" t="s">
        <v>4463</v>
      </c>
      <c r="C294" t="s">
        <v>74</v>
      </c>
      <c r="D294" t="s">
        <v>74</v>
      </c>
      <c r="E294" t="s">
        <v>74</v>
      </c>
      <c r="F294" t="s">
        <v>4463</v>
      </c>
      <c r="G294" t="s">
        <v>74</v>
      </c>
      <c r="H294" t="s">
        <v>74</v>
      </c>
      <c r="I294" t="s">
        <v>4464</v>
      </c>
      <c r="J294" t="s">
        <v>4465</v>
      </c>
      <c r="K294" t="s">
        <v>74</v>
      </c>
      <c r="L294" t="s">
        <v>74</v>
      </c>
      <c r="M294" t="s">
        <v>79</v>
      </c>
      <c r="N294" t="s">
        <v>126</v>
      </c>
      <c r="O294" t="s">
        <v>74</v>
      </c>
      <c r="P294" t="s">
        <v>74</v>
      </c>
      <c r="Q294" t="s">
        <v>74</v>
      </c>
      <c r="R294" t="s">
        <v>74</v>
      </c>
      <c r="S294" t="s">
        <v>74</v>
      </c>
      <c r="T294" t="s">
        <v>4466</v>
      </c>
      <c r="U294" t="s">
        <v>4467</v>
      </c>
      <c r="V294" t="s">
        <v>4468</v>
      </c>
      <c r="W294" t="s">
        <v>4469</v>
      </c>
      <c r="X294" t="s">
        <v>4470</v>
      </c>
      <c r="Y294" t="s">
        <v>4471</v>
      </c>
      <c r="Z294" t="s">
        <v>4472</v>
      </c>
      <c r="AA294" t="s">
        <v>4473</v>
      </c>
      <c r="AB294" t="s">
        <v>74</v>
      </c>
      <c r="AC294" t="s">
        <v>74</v>
      </c>
      <c r="AD294" t="s">
        <v>74</v>
      </c>
      <c r="AE294" t="s">
        <v>74</v>
      </c>
      <c r="AF294" t="s">
        <v>74</v>
      </c>
      <c r="AG294">
        <v>25</v>
      </c>
      <c r="AH294">
        <v>0</v>
      </c>
      <c r="AI294">
        <v>1</v>
      </c>
      <c r="AJ294">
        <v>0</v>
      </c>
      <c r="AK294">
        <v>8</v>
      </c>
      <c r="AL294" t="s">
        <v>4474</v>
      </c>
      <c r="AM294" t="s">
        <v>4475</v>
      </c>
      <c r="AN294" t="s">
        <v>4476</v>
      </c>
      <c r="AO294" t="s">
        <v>4477</v>
      </c>
      <c r="AP294" t="s">
        <v>74</v>
      </c>
      <c r="AQ294" t="s">
        <v>74</v>
      </c>
      <c r="AR294" t="s">
        <v>4478</v>
      </c>
      <c r="AS294" t="s">
        <v>4479</v>
      </c>
      <c r="AT294" t="s">
        <v>4254</v>
      </c>
      <c r="AU294">
        <v>2004</v>
      </c>
      <c r="AV294">
        <v>49</v>
      </c>
      <c r="AW294">
        <v>20</v>
      </c>
      <c r="AX294" t="s">
        <v>74</v>
      </c>
      <c r="AY294" t="s">
        <v>74</v>
      </c>
      <c r="AZ294" t="s">
        <v>74</v>
      </c>
      <c r="BA294" t="s">
        <v>74</v>
      </c>
      <c r="BB294">
        <v>2205</v>
      </c>
      <c r="BC294">
        <v>2211</v>
      </c>
      <c r="BD294" t="s">
        <v>74</v>
      </c>
      <c r="BE294" t="s">
        <v>4480</v>
      </c>
      <c r="BF294" t="str">
        <f>HYPERLINK("http://dx.doi.org/10.1360/03wd0355","http://dx.doi.org/10.1360/03wd0355")</f>
        <v>http://dx.doi.org/10.1360/03wd0355</v>
      </c>
      <c r="BG294" t="s">
        <v>74</v>
      </c>
      <c r="BH294" t="s">
        <v>74</v>
      </c>
      <c r="BI294">
        <v>7</v>
      </c>
      <c r="BJ294" t="s">
        <v>381</v>
      </c>
      <c r="BK294" t="s">
        <v>139</v>
      </c>
      <c r="BL294" t="s">
        <v>382</v>
      </c>
      <c r="BM294" t="s">
        <v>4481</v>
      </c>
      <c r="BN294" t="s">
        <v>74</v>
      </c>
      <c r="BO294" t="s">
        <v>74</v>
      </c>
      <c r="BP294" t="s">
        <v>74</v>
      </c>
      <c r="BQ294" t="s">
        <v>74</v>
      </c>
      <c r="BR294" t="s">
        <v>98</v>
      </c>
      <c r="BS294" t="s">
        <v>4482</v>
      </c>
      <c r="BT294" t="str">
        <f>HYPERLINK("https%3A%2F%2Fwww.webofscience.com%2Fwos%2Fwoscc%2Ffull-record%2FWOS:000226271000016","View Full Record in Web of Science")</f>
        <v>View Full Record in Web of Science</v>
      </c>
    </row>
    <row r="295" spans="1:72" x14ac:dyDescent="0.15">
      <c r="A295" t="s">
        <v>122</v>
      </c>
      <c r="B295" t="s">
        <v>4483</v>
      </c>
      <c r="C295" t="s">
        <v>74</v>
      </c>
      <c r="D295" t="s">
        <v>74</v>
      </c>
      <c r="E295" t="s">
        <v>74</v>
      </c>
      <c r="F295" t="s">
        <v>4483</v>
      </c>
      <c r="G295" t="s">
        <v>74</v>
      </c>
      <c r="H295" t="s">
        <v>74</v>
      </c>
      <c r="I295" t="s">
        <v>4484</v>
      </c>
      <c r="J295" t="s">
        <v>4485</v>
      </c>
      <c r="K295" t="s">
        <v>74</v>
      </c>
      <c r="L295" t="s">
        <v>74</v>
      </c>
      <c r="M295" t="s">
        <v>79</v>
      </c>
      <c r="N295" t="s">
        <v>126</v>
      </c>
      <c r="O295" t="s">
        <v>74</v>
      </c>
      <c r="P295" t="s">
        <v>74</v>
      </c>
      <c r="Q295" t="s">
        <v>74</v>
      </c>
      <c r="R295" t="s">
        <v>74</v>
      </c>
      <c r="S295" t="s">
        <v>74</v>
      </c>
      <c r="T295" t="s">
        <v>4486</v>
      </c>
      <c r="U295" t="s">
        <v>4487</v>
      </c>
      <c r="V295" t="s">
        <v>4488</v>
      </c>
      <c r="W295" t="s">
        <v>4489</v>
      </c>
      <c r="X295" t="s">
        <v>4490</v>
      </c>
      <c r="Y295" t="s">
        <v>4491</v>
      </c>
      <c r="Z295" t="s">
        <v>4492</v>
      </c>
      <c r="AA295" t="s">
        <v>74</v>
      </c>
      <c r="AB295" t="s">
        <v>4493</v>
      </c>
      <c r="AC295" t="s">
        <v>74</v>
      </c>
      <c r="AD295" t="s">
        <v>74</v>
      </c>
      <c r="AE295" t="s">
        <v>74</v>
      </c>
      <c r="AF295" t="s">
        <v>74</v>
      </c>
      <c r="AG295">
        <v>53</v>
      </c>
      <c r="AH295">
        <v>39</v>
      </c>
      <c r="AI295">
        <v>45</v>
      </c>
      <c r="AJ295">
        <v>0</v>
      </c>
      <c r="AK295">
        <v>8</v>
      </c>
      <c r="AL295" t="s">
        <v>1273</v>
      </c>
      <c r="AM295" t="s">
        <v>197</v>
      </c>
      <c r="AN295" t="s">
        <v>1274</v>
      </c>
      <c r="AO295" t="s">
        <v>4494</v>
      </c>
      <c r="AP295" t="s">
        <v>4495</v>
      </c>
      <c r="AQ295" t="s">
        <v>74</v>
      </c>
      <c r="AR295" t="s">
        <v>4496</v>
      </c>
      <c r="AS295" t="s">
        <v>4497</v>
      </c>
      <c r="AT295" t="s">
        <v>4254</v>
      </c>
      <c r="AU295">
        <v>2004</v>
      </c>
      <c r="AV295">
        <v>24</v>
      </c>
      <c r="AW295">
        <v>15</v>
      </c>
      <c r="AX295" t="s">
        <v>74</v>
      </c>
      <c r="AY295" t="s">
        <v>74</v>
      </c>
      <c r="AZ295" t="s">
        <v>74</v>
      </c>
      <c r="BA295" t="s">
        <v>74</v>
      </c>
      <c r="BB295">
        <v>1717</v>
      </c>
      <c r="BC295">
        <v>1736</v>
      </c>
      <c r="BD295" t="s">
        <v>74</v>
      </c>
      <c r="BE295" t="s">
        <v>4498</v>
      </c>
      <c r="BF295" t="str">
        <f>HYPERLINK("http://dx.doi.org/10.1016/j.csr.2004.05.010","http://dx.doi.org/10.1016/j.csr.2004.05.010")</f>
        <v>http://dx.doi.org/10.1016/j.csr.2004.05.010</v>
      </c>
      <c r="BG295" t="s">
        <v>74</v>
      </c>
      <c r="BH295" t="s">
        <v>74</v>
      </c>
      <c r="BI295">
        <v>20</v>
      </c>
      <c r="BJ295" t="s">
        <v>660</v>
      </c>
      <c r="BK295" t="s">
        <v>139</v>
      </c>
      <c r="BL295" t="s">
        <v>660</v>
      </c>
      <c r="BM295" t="s">
        <v>4499</v>
      </c>
      <c r="BN295" t="s">
        <v>74</v>
      </c>
      <c r="BO295" t="s">
        <v>74</v>
      </c>
      <c r="BP295" t="s">
        <v>74</v>
      </c>
      <c r="BQ295" t="s">
        <v>74</v>
      </c>
      <c r="BR295" t="s">
        <v>98</v>
      </c>
      <c r="BS295" t="s">
        <v>4500</v>
      </c>
      <c r="BT295" t="str">
        <f>HYPERLINK("https%3A%2F%2Fwww.webofscience.com%2Fwos%2Fwoscc%2Ffull-record%2FWOS:000224364300009","View Full Record in Web of Science")</f>
        <v>View Full Record in Web of Science</v>
      </c>
    </row>
    <row r="296" spans="1:72" x14ac:dyDescent="0.15">
      <c r="A296" t="s">
        <v>122</v>
      </c>
      <c r="B296" t="s">
        <v>4501</v>
      </c>
      <c r="C296" t="s">
        <v>74</v>
      </c>
      <c r="D296" t="s">
        <v>74</v>
      </c>
      <c r="E296" t="s">
        <v>74</v>
      </c>
      <c r="F296" t="s">
        <v>4501</v>
      </c>
      <c r="G296" t="s">
        <v>74</v>
      </c>
      <c r="H296" t="s">
        <v>74</v>
      </c>
      <c r="I296" t="s">
        <v>4502</v>
      </c>
      <c r="J296" t="s">
        <v>4503</v>
      </c>
      <c r="K296" t="s">
        <v>74</v>
      </c>
      <c r="L296" t="s">
        <v>74</v>
      </c>
      <c r="M296" t="s">
        <v>79</v>
      </c>
      <c r="N296" t="s">
        <v>126</v>
      </c>
      <c r="O296" t="s">
        <v>74</v>
      </c>
      <c r="P296" t="s">
        <v>74</v>
      </c>
      <c r="Q296" t="s">
        <v>74</v>
      </c>
      <c r="R296" t="s">
        <v>74</v>
      </c>
      <c r="S296" t="s">
        <v>74</v>
      </c>
      <c r="T296" t="s">
        <v>74</v>
      </c>
      <c r="U296" t="s">
        <v>74</v>
      </c>
      <c r="V296" t="s">
        <v>4504</v>
      </c>
      <c r="W296" t="s">
        <v>4505</v>
      </c>
      <c r="X296" t="s">
        <v>4506</v>
      </c>
      <c r="Y296" t="s">
        <v>4507</v>
      </c>
      <c r="Z296" t="s">
        <v>74</v>
      </c>
      <c r="AA296" t="s">
        <v>74</v>
      </c>
      <c r="AB296" t="s">
        <v>74</v>
      </c>
      <c r="AC296" t="s">
        <v>74</v>
      </c>
      <c r="AD296" t="s">
        <v>74</v>
      </c>
      <c r="AE296" t="s">
        <v>74</v>
      </c>
      <c r="AF296" t="s">
        <v>74</v>
      </c>
      <c r="AG296">
        <v>16</v>
      </c>
      <c r="AH296">
        <v>25</v>
      </c>
      <c r="AI296">
        <v>27</v>
      </c>
      <c r="AJ296">
        <v>1</v>
      </c>
      <c r="AK296">
        <v>5</v>
      </c>
      <c r="AL296" t="s">
        <v>4508</v>
      </c>
      <c r="AM296" t="s">
        <v>4509</v>
      </c>
      <c r="AN296" t="s">
        <v>4510</v>
      </c>
      <c r="AO296" t="s">
        <v>4511</v>
      </c>
      <c r="AP296" t="s">
        <v>74</v>
      </c>
      <c r="AQ296" t="s">
        <v>74</v>
      </c>
      <c r="AR296" t="s">
        <v>4512</v>
      </c>
      <c r="AS296" t="s">
        <v>4513</v>
      </c>
      <c r="AT296" t="s">
        <v>4514</v>
      </c>
      <c r="AU296">
        <v>2004</v>
      </c>
      <c r="AV296">
        <v>25</v>
      </c>
      <c r="AW296">
        <v>4</v>
      </c>
      <c r="AX296" t="s">
        <v>74</v>
      </c>
      <c r="AY296" t="s">
        <v>74</v>
      </c>
      <c r="AZ296" t="s">
        <v>74</v>
      </c>
      <c r="BA296" t="s">
        <v>74</v>
      </c>
      <c r="BB296">
        <v>323</v>
      </c>
      <c r="BC296">
        <v>331</v>
      </c>
      <c r="BD296" t="s">
        <v>74</v>
      </c>
      <c r="BE296" t="s">
        <v>74</v>
      </c>
      <c r="BF296" t="s">
        <v>74</v>
      </c>
      <c r="BG296" t="s">
        <v>74</v>
      </c>
      <c r="BH296" t="s">
        <v>74</v>
      </c>
      <c r="BI296">
        <v>9</v>
      </c>
      <c r="BJ296" t="s">
        <v>4515</v>
      </c>
      <c r="BK296" t="s">
        <v>139</v>
      </c>
      <c r="BL296" t="s">
        <v>4515</v>
      </c>
      <c r="BM296" t="s">
        <v>4516</v>
      </c>
      <c r="BN296" t="s">
        <v>74</v>
      </c>
      <c r="BO296" t="s">
        <v>74</v>
      </c>
      <c r="BP296" t="s">
        <v>74</v>
      </c>
      <c r="BQ296" t="s">
        <v>74</v>
      </c>
      <c r="BR296" t="s">
        <v>98</v>
      </c>
      <c r="BS296" t="s">
        <v>4517</v>
      </c>
      <c r="BT296" t="str">
        <f>HYPERLINK("https%3A%2F%2Fwww.webofscience.com%2Fwos%2Fwoscc%2Ffull-record%2FWOS:000226830200002","View Full Record in Web of Science")</f>
        <v>View Full Record in Web of Science</v>
      </c>
    </row>
    <row r="297" spans="1:72" x14ac:dyDescent="0.15">
      <c r="A297" t="s">
        <v>122</v>
      </c>
      <c r="B297" t="s">
        <v>4518</v>
      </c>
      <c r="C297" t="s">
        <v>74</v>
      </c>
      <c r="D297" t="s">
        <v>74</v>
      </c>
      <c r="E297" t="s">
        <v>74</v>
      </c>
      <c r="F297" t="s">
        <v>4518</v>
      </c>
      <c r="G297" t="s">
        <v>74</v>
      </c>
      <c r="H297" t="s">
        <v>74</v>
      </c>
      <c r="I297" t="s">
        <v>4519</v>
      </c>
      <c r="J297" t="s">
        <v>1263</v>
      </c>
      <c r="K297" t="s">
        <v>74</v>
      </c>
      <c r="L297" t="s">
        <v>74</v>
      </c>
      <c r="M297" t="s">
        <v>79</v>
      </c>
      <c r="N297" t="s">
        <v>126</v>
      </c>
      <c r="O297" t="s">
        <v>74</v>
      </c>
      <c r="P297" t="s">
        <v>74</v>
      </c>
      <c r="Q297" t="s">
        <v>74</v>
      </c>
      <c r="R297" t="s">
        <v>74</v>
      </c>
      <c r="S297" t="s">
        <v>74</v>
      </c>
      <c r="T297" t="s">
        <v>4520</v>
      </c>
      <c r="U297" t="s">
        <v>4521</v>
      </c>
      <c r="V297" t="s">
        <v>4522</v>
      </c>
      <c r="W297" t="s">
        <v>4523</v>
      </c>
      <c r="X297" t="s">
        <v>4524</v>
      </c>
      <c r="Y297" t="s">
        <v>4525</v>
      </c>
      <c r="Z297" t="s">
        <v>74</v>
      </c>
      <c r="AA297" t="s">
        <v>4526</v>
      </c>
      <c r="AB297" t="s">
        <v>4527</v>
      </c>
      <c r="AC297" t="s">
        <v>74</v>
      </c>
      <c r="AD297" t="s">
        <v>74</v>
      </c>
      <c r="AE297" t="s">
        <v>74</v>
      </c>
      <c r="AF297" t="s">
        <v>74</v>
      </c>
      <c r="AG297">
        <v>59</v>
      </c>
      <c r="AH297">
        <v>77</v>
      </c>
      <c r="AI297">
        <v>92</v>
      </c>
      <c r="AJ297">
        <v>0</v>
      </c>
      <c r="AK297">
        <v>25</v>
      </c>
      <c r="AL297" t="s">
        <v>1273</v>
      </c>
      <c r="AM297" t="s">
        <v>197</v>
      </c>
      <c r="AN297" t="s">
        <v>1274</v>
      </c>
      <c r="AO297" t="s">
        <v>1275</v>
      </c>
      <c r="AP297" t="s">
        <v>74</v>
      </c>
      <c r="AQ297" t="s">
        <v>74</v>
      </c>
      <c r="AR297" t="s">
        <v>1277</v>
      </c>
      <c r="AS297" t="s">
        <v>1278</v>
      </c>
      <c r="AT297" t="s">
        <v>4254</v>
      </c>
      <c r="AU297">
        <v>2004</v>
      </c>
      <c r="AV297">
        <v>51</v>
      </c>
      <c r="AW297">
        <v>10</v>
      </c>
      <c r="AX297" t="s">
        <v>74</v>
      </c>
      <c r="AY297" t="s">
        <v>74</v>
      </c>
      <c r="AZ297" t="s">
        <v>74</v>
      </c>
      <c r="BA297" t="s">
        <v>74</v>
      </c>
      <c r="BB297">
        <v>1337</v>
      </c>
      <c r="BC297">
        <v>1346</v>
      </c>
      <c r="BD297" t="s">
        <v>74</v>
      </c>
      <c r="BE297" t="s">
        <v>4528</v>
      </c>
      <c r="BF297" t="str">
        <f>HYPERLINK("http://dx.doi.org/10.1016/j.dsr.2004.05.007","http://dx.doi.org/10.1016/j.dsr.2004.05.007")</f>
        <v>http://dx.doi.org/10.1016/j.dsr.2004.05.007</v>
      </c>
      <c r="BG297" t="s">
        <v>74</v>
      </c>
      <c r="BH297" t="s">
        <v>74</v>
      </c>
      <c r="BI297">
        <v>10</v>
      </c>
      <c r="BJ297" t="s">
        <v>660</v>
      </c>
      <c r="BK297" t="s">
        <v>139</v>
      </c>
      <c r="BL297" t="s">
        <v>660</v>
      </c>
      <c r="BM297" t="s">
        <v>4529</v>
      </c>
      <c r="BN297" t="s">
        <v>74</v>
      </c>
      <c r="BO297" t="s">
        <v>74</v>
      </c>
      <c r="BP297" t="s">
        <v>74</v>
      </c>
      <c r="BQ297" t="s">
        <v>74</v>
      </c>
      <c r="BR297" t="s">
        <v>98</v>
      </c>
      <c r="BS297" t="s">
        <v>4530</v>
      </c>
      <c r="BT297" t="str">
        <f>HYPERLINK("https%3A%2F%2Fwww.webofscience.com%2Fwos%2Fwoscc%2Ffull-record%2FWOS:000223949500004","View Full Record in Web of Science")</f>
        <v>View Full Record in Web of Science</v>
      </c>
    </row>
    <row r="298" spans="1:72" x14ac:dyDescent="0.15">
      <c r="A298" t="s">
        <v>122</v>
      </c>
      <c r="B298" t="s">
        <v>4531</v>
      </c>
      <c r="C298" t="s">
        <v>74</v>
      </c>
      <c r="D298" t="s">
        <v>74</v>
      </c>
      <c r="E298" t="s">
        <v>74</v>
      </c>
      <c r="F298" t="s">
        <v>4531</v>
      </c>
      <c r="G298" t="s">
        <v>74</v>
      </c>
      <c r="H298" t="s">
        <v>74</v>
      </c>
      <c r="I298" t="s">
        <v>4532</v>
      </c>
      <c r="J298" t="s">
        <v>4533</v>
      </c>
      <c r="K298" t="s">
        <v>74</v>
      </c>
      <c r="L298" t="s">
        <v>74</v>
      </c>
      <c r="M298" t="s">
        <v>79</v>
      </c>
      <c r="N298" t="s">
        <v>126</v>
      </c>
      <c r="O298" t="s">
        <v>74</v>
      </c>
      <c r="P298" t="s">
        <v>74</v>
      </c>
      <c r="Q298" t="s">
        <v>74</v>
      </c>
      <c r="R298" t="s">
        <v>74</v>
      </c>
      <c r="S298" t="s">
        <v>74</v>
      </c>
      <c r="T298" t="s">
        <v>4534</v>
      </c>
      <c r="U298" t="s">
        <v>4535</v>
      </c>
      <c r="V298" t="s">
        <v>4536</v>
      </c>
      <c r="W298" t="s">
        <v>4537</v>
      </c>
      <c r="X298" t="s">
        <v>4538</v>
      </c>
      <c r="Y298" t="s">
        <v>502</v>
      </c>
      <c r="Z298" t="s">
        <v>4539</v>
      </c>
      <c r="AA298" t="s">
        <v>4540</v>
      </c>
      <c r="AB298" t="s">
        <v>4541</v>
      </c>
      <c r="AC298" t="s">
        <v>74</v>
      </c>
      <c r="AD298" t="s">
        <v>74</v>
      </c>
      <c r="AE298" t="s">
        <v>74</v>
      </c>
      <c r="AF298" t="s">
        <v>74</v>
      </c>
      <c r="AG298">
        <v>30</v>
      </c>
      <c r="AH298">
        <v>276</v>
      </c>
      <c r="AI298">
        <v>308</v>
      </c>
      <c r="AJ298">
        <v>0</v>
      </c>
      <c r="AK298">
        <v>102</v>
      </c>
      <c r="AL298" t="s">
        <v>1418</v>
      </c>
      <c r="AM298" t="s">
        <v>1419</v>
      </c>
      <c r="AN298" t="s">
        <v>1420</v>
      </c>
      <c r="AO298" t="s">
        <v>4542</v>
      </c>
      <c r="AP298" t="s">
        <v>4543</v>
      </c>
      <c r="AQ298" t="s">
        <v>74</v>
      </c>
      <c r="AR298" t="s">
        <v>4544</v>
      </c>
      <c r="AS298" t="s">
        <v>4545</v>
      </c>
      <c r="AT298" t="s">
        <v>4254</v>
      </c>
      <c r="AU298">
        <v>2004</v>
      </c>
      <c r="AV298">
        <v>18</v>
      </c>
      <c r="AW298">
        <v>5</v>
      </c>
      <c r="AX298" t="s">
        <v>74</v>
      </c>
      <c r="AY298" t="s">
        <v>74</v>
      </c>
      <c r="AZ298" t="s">
        <v>74</v>
      </c>
      <c r="BA298" t="s">
        <v>74</v>
      </c>
      <c r="BB298">
        <v>625</v>
      </c>
      <c r="BC298">
        <v>630</v>
      </c>
      <c r="BD298" t="s">
        <v>74</v>
      </c>
      <c r="BE298" t="s">
        <v>4546</v>
      </c>
      <c r="BF298" t="str">
        <f>HYPERLINK("http://dx.doi.org/10.1111/j.0269-8463.2004.00903.x","http://dx.doi.org/10.1111/j.0269-8463.2004.00903.x")</f>
        <v>http://dx.doi.org/10.1111/j.0269-8463.2004.00903.x</v>
      </c>
      <c r="BG298" t="s">
        <v>74</v>
      </c>
      <c r="BH298" t="s">
        <v>74</v>
      </c>
      <c r="BI298">
        <v>6</v>
      </c>
      <c r="BJ298" t="s">
        <v>3165</v>
      </c>
      <c r="BK298" t="s">
        <v>139</v>
      </c>
      <c r="BL298" t="s">
        <v>1305</v>
      </c>
      <c r="BM298" t="s">
        <v>4547</v>
      </c>
      <c r="BN298" t="s">
        <v>74</v>
      </c>
      <c r="BO298" t="s">
        <v>2469</v>
      </c>
      <c r="BP298" t="s">
        <v>74</v>
      </c>
      <c r="BQ298" t="s">
        <v>74</v>
      </c>
      <c r="BR298" t="s">
        <v>98</v>
      </c>
      <c r="BS298" t="s">
        <v>4548</v>
      </c>
      <c r="BT298" t="str">
        <f>HYPERLINK("https%3A%2F%2Fwww.webofscience.com%2Fwos%2Fwoscc%2Ffull-record%2FWOS:000224000900001","View Full Record in Web of Science")</f>
        <v>View Full Record in Web of Science</v>
      </c>
    </row>
    <row r="299" spans="1:72" x14ac:dyDescent="0.15">
      <c r="A299" t="s">
        <v>122</v>
      </c>
      <c r="B299" t="s">
        <v>4549</v>
      </c>
      <c r="C299" t="s">
        <v>74</v>
      </c>
      <c r="D299" t="s">
        <v>74</v>
      </c>
      <c r="E299" t="s">
        <v>74</v>
      </c>
      <c r="F299" t="s">
        <v>4549</v>
      </c>
      <c r="G299" t="s">
        <v>74</v>
      </c>
      <c r="H299" t="s">
        <v>74</v>
      </c>
      <c r="I299" t="s">
        <v>4550</v>
      </c>
      <c r="J299" t="s">
        <v>3171</v>
      </c>
      <c r="K299" t="s">
        <v>74</v>
      </c>
      <c r="L299" t="s">
        <v>74</v>
      </c>
      <c r="M299" t="s">
        <v>79</v>
      </c>
      <c r="N299" t="s">
        <v>126</v>
      </c>
      <c r="O299" t="s">
        <v>74</v>
      </c>
      <c r="P299" t="s">
        <v>74</v>
      </c>
      <c r="Q299" t="s">
        <v>74</v>
      </c>
      <c r="R299" t="s">
        <v>74</v>
      </c>
      <c r="S299" t="s">
        <v>74</v>
      </c>
      <c r="T299" t="s">
        <v>74</v>
      </c>
      <c r="U299" t="s">
        <v>4551</v>
      </c>
      <c r="V299" t="s">
        <v>4552</v>
      </c>
      <c r="W299" t="s">
        <v>4553</v>
      </c>
      <c r="X299" t="s">
        <v>4554</v>
      </c>
      <c r="Y299" t="s">
        <v>4555</v>
      </c>
      <c r="Z299" t="s">
        <v>4556</v>
      </c>
      <c r="AA299" t="s">
        <v>4557</v>
      </c>
      <c r="AB299" t="s">
        <v>4558</v>
      </c>
      <c r="AC299" t="s">
        <v>74</v>
      </c>
      <c r="AD299" t="s">
        <v>74</v>
      </c>
      <c r="AE299" t="s">
        <v>74</v>
      </c>
      <c r="AF299" t="s">
        <v>74</v>
      </c>
      <c r="AG299">
        <v>94</v>
      </c>
      <c r="AH299">
        <v>108</v>
      </c>
      <c r="AI299">
        <v>117</v>
      </c>
      <c r="AJ299">
        <v>3</v>
      </c>
      <c r="AK299">
        <v>39</v>
      </c>
      <c r="AL299" t="s">
        <v>1273</v>
      </c>
      <c r="AM299" t="s">
        <v>197</v>
      </c>
      <c r="AN299" t="s">
        <v>1274</v>
      </c>
      <c r="AO299" t="s">
        <v>3180</v>
      </c>
      <c r="AP299" t="s">
        <v>3181</v>
      </c>
      <c r="AQ299" t="s">
        <v>74</v>
      </c>
      <c r="AR299" t="s">
        <v>3182</v>
      </c>
      <c r="AS299" t="s">
        <v>3183</v>
      </c>
      <c r="AT299" t="s">
        <v>4254</v>
      </c>
      <c r="AU299">
        <v>2004</v>
      </c>
      <c r="AV299">
        <v>68</v>
      </c>
      <c r="AW299">
        <v>19</v>
      </c>
      <c r="AX299" t="s">
        <v>74</v>
      </c>
      <c r="AY299" t="s">
        <v>74</v>
      </c>
      <c r="AZ299" t="s">
        <v>74</v>
      </c>
      <c r="BA299" t="s">
        <v>74</v>
      </c>
      <c r="BB299">
        <v>3827</v>
      </c>
      <c r="BC299">
        <v>3843</v>
      </c>
      <c r="BD299" t="s">
        <v>74</v>
      </c>
      <c r="BE299" t="s">
        <v>74</v>
      </c>
      <c r="BF299" t="s">
        <v>74</v>
      </c>
      <c r="BG299" t="s">
        <v>74</v>
      </c>
      <c r="BH299" t="s">
        <v>74</v>
      </c>
      <c r="BI299">
        <v>17</v>
      </c>
      <c r="BJ299" t="s">
        <v>271</v>
      </c>
      <c r="BK299" t="s">
        <v>139</v>
      </c>
      <c r="BL299" t="s">
        <v>271</v>
      </c>
      <c r="BM299" t="s">
        <v>4559</v>
      </c>
      <c r="BN299" t="s">
        <v>74</v>
      </c>
      <c r="BO299" t="s">
        <v>74</v>
      </c>
      <c r="BP299" t="s">
        <v>74</v>
      </c>
      <c r="BQ299" t="s">
        <v>74</v>
      </c>
      <c r="BR299" t="s">
        <v>98</v>
      </c>
      <c r="BS299" t="s">
        <v>4560</v>
      </c>
      <c r="BT299" t="str">
        <f>HYPERLINK("https%3A%2F%2Fwww.webofscience.com%2Fwos%2Fwoscc%2Ffull-record%2FWOS:000224198400002","View Full Record in Web of Science")</f>
        <v>View Full Record in Web of Science</v>
      </c>
    </row>
    <row r="300" spans="1:72" x14ac:dyDescent="0.15">
      <c r="A300" t="s">
        <v>122</v>
      </c>
      <c r="B300" t="s">
        <v>4561</v>
      </c>
      <c r="C300" t="s">
        <v>74</v>
      </c>
      <c r="D300" t="s">
        <v>74</v>
      </c>
      <c r="E300" t="s">
        <v>74</v>
      </c>
      <c r="F300" t="s">
        <v>4561</v>
      </c>
      <c r="G300" t="s">
        <v>74</v>
      </c>
      <c r="H300" t="s">
        <v>74</v>
      </c>
      <c r="I300" t="s">
        <v>4562</v>
      </c>
      <c r="J300" t="s">
        <v>3211</v>
      </c>
      <c r="K300" t="s">
        <v>74</v>
      </c>
      <c r="L300" t="s">
        <v>74</v>
      </c>
      <c r="M300" t="s">
        <v>79</v>
      </c>
      <c r="N300" t="s">
        <v>126</v>
      </c>
      <c r="O300" t="s">
        <v>74</v>
      </c>
      <c r="P300" t="s">
        <v>74</v>
      </c>
      <c r="Q300" t="s">
        <v>74</v>
      </c>
      <c r="R300" t="s">
        <v>74</v>
      </c>
      <c r="S300" t="s">
        <v>74</v>
      </c>
      <c r="T300" t="s">
        <v>4563</v>
      </c>
      <c r="U300" t="s">
        <v>4564</v>
      </c>
      <c r="V300" t="s">
        <v>4565</v>
      </c>
      <c r="W300" t="s">
        <v>4566</v>
      </c>
      <c r="X300" t="s">
        <v>4567</v>
      </c>
      <c r="Y300" t="s">
        <v>4568</v>
      </c>
      <c r="Z300" t="s">
        <v>74</v>
      </c>
      <c r="AA300" t="s">
        <v>4569</v>
      </c>
      <c r="AB300" t="s">
        <v>4570</v>
      </c>
      <c r="AC300" t="s">
        <v>74</v>
      </c>
      <c r="AD300" t="s">
        <v>74</v>
      </c>
      <c r="AE300" t="s">
        <v>74</v>
      </c>
      <c r="AF300" t="s">
        <v>74</v>
      </c>
      <c r="AG300">
        <v>37</v>
      </c>
      <c r="AH300">
        <v>85</v>
      </c>
      <c r="AI300">
        <v>91</v>
      </c>
      <c r="AJ300">
        <v>0</v>
      </c>
      <c r="AK300">
        <v>23</v>
      </c>
      <c r="AL300" t="s">
        <v>3236</v>
      </c>
      <c r="AM300" t="s">
        <v>2601</v>
      </c>
      <c r="AN300" t="s">
        <v>3200</v>
      </c>
      <c r="AO300" t="s">
        <v>3221</v>
      </c>
      <c r="AP300" t="s">
        <v>74</v>
      </c>
      <c r="AQ300" t="s">
        <v>74</v>
      </c>
      <c r="AR300" t="s">
        <v>3211</v>
      </c>
      <c r="AS300" t="s">
        <v>249</v>
      </c>
      <c r="AT300" t="s">
        <v>4254</v>
      </c>
      <c r="AU300">
        <v>2004</v>
      </c>
      <c r="AV300">
        <v>32</v>
      </c>
      <c r="AW300">
        <v>10</v>
      </c>
      <c r="AX300" t="s">
        <v>74</v>
      </c>
      <c r="AY300" t="s">
        <v>74</v>
      </c>
      <c r="AZ300" t="s">
        <v>74</v>
      </c>
      <c r="BA300" t="s">
        <v>74</v>
      </c>
      <c r="BB300">
        <v>909</v>
      </c>
      <c r="BC300">
        <v>912</v>
      </c>
      <c r="BD300" t="s">
        <v>74</v>
      </c>
      <c r="BE300" t="s">
        <v>4571</v>
      </c>
      <c r="BF300" t="str">
        <f>HYPERLINK("http://dx.doi.org/10.1130/G20709.1","http://dx.doi.org/10.1130/G20709.1")</f>
        <v>http://dx.doi.org/10.1130/G20709.1</v>
      </c>
      <c r="BG300" t="s">
        <v>74</v>
      </c>
      <c r="BH300" t="s">
        <v>74</v>
      </c>
      <c r="BI300">
        <v>4</v>
      </c>
      <c r="BJ300" t="s">
        <v>249</v>
      </c>
      <c r="BK300" t="s">
        <v>139</v>
      </c>
      <c r="BL300" t="s">
        <v>249</v>
      </c>
      <c r="BM300" t="s">
        <v>4572</v>
      </c>
      <c r="BN300" t="s">
        <v>74</v>
      </c>
      <c r="BO300" t="s">
        <v>74</v>
      </c>
      <c r="BP300" t="s">
        <v>74</v>
      </c>
      <c r="BQ300" t="s">
        <v>74</v>
      </c>
      <c r="BR300" t="s">
        <v>98</v>
      </c>
      <c r="BS300" t="s">
        <v>4573</v>
      </c>
      <c r="BT300" t="str">
        <f>HYPERLINK("https%3A%2F%2Fwww.webofscience.com%2Fwos%2Fwoscc%2Ffull-record%2FWOS:000224417100021","View Full Record in Web of Science")</f>
        <v>View Full Record in Web of Science</v>
      </c>
    </row>
    <row r="301" spans="1:72" x14ac:dyDescent="0.15">
      <c r="A301" t="s">
        <v>122</v>
      </c>
      <c r="B301" t="s">
        <v>4574</v>
      </c>
      <c r="C301" t="s">
        <v>74</v>
      </c>
      <c r="D301" t="s">
        <v>74</v>
      </c>
      <c r="E301" t="s">
        <v>74</v>
      </c>
      <c r="F301" t="s">
        <v>4574</v>
      </c>
      <c r="G301" t="s">
        <v>74</v>
      </c>
      <c r="H301" t="s">
        <v>74</v>
      </c>
      <c r="I301" t="s">
        <v>4575</v>
      </c>
      <c r="J301" t="s">
        <v>3211</v>
      </c>
      <c r="K301" t="s">
        <v>74</v>
      </c>
      <c r="L301" t="s">
        <v>74</v>
      </c>
      <c r="M301" t="s">
        <v>79</v>
      </c>
      <c r="N301" t="s">
        <v>126</v>
      </c>
      <c r="O301" t="s">
        <v>74</v>
      </c>
      <c r="P301" t="s">
        <v>74</v>
      </c>
      <c r="Q301" t="s">
        <v>74</v>
      </c>
      <c r="R301" t="s">
        <v>74</v>
      </c>
      <c r="S301" t="s">
        <v>74</v>
      </c>
      <c r="T301" t="s">
        <v>4576</v>
      </c>
      <c r="U301" t="s">
        <v>4577</v>
      </c>
      <c r="V301" t="s">
        <v>4578</v>
      </c>
      <c r="W301" t="s">
        <v>4579</v>
      </c>
      <c r="X301" t="s">
        <v>4580</v>
      </c>
      <c r="Y301" t="s">
        <v>4581</v>
      </c>
      <c r="Z301" t="s">
        <v>4582</v>
      </c>
      <c r="AA301" t="s">
        <v>74</v>
      </c>
      <c r="AB301" t="s">
        <v>74</v>
      </c>
      <c r="AC301" t="s">
        <v>74</v>
      </c>
      <c r="AD301" t="s">
        <v>74</v>
      </c>
      <c r="AE301" t="s">
        <v>74</v>
      </c>
      <c r="AF301" t="s">
        <v>74</v>
      </c>
      <c r="AG301">
        <v>33</v>
      </c>
      <c r="AH301">
        <v>62</v>
      </c>
      <c r="AI301">
        <v>75</v>
      </c>
      <c r="AJ301">
        <v>0</v>
      </c>
      <c r="AK301">
        <v>12</v>
      </c>
      <c r="AL301" t="s">
        <v>3199</v>
      </c>
      <c r="AM301" t="s">
        <v>2601</v>
      </c>
      <c r="AN301" t="s">
        <v>3200</v>
      </c>
      <c r="AO301" t="s">
        <v>3221</v>
      </c>
      <c r="AP301" t="s">
        <v>3222</v>
      </c>
      <c r="AQ301" t="s">
        <v>74</v>
      </c>
      <c r="AR301" t="s">
        <v>3211</v>
      </c>
      <c r="AS301" t="s">
        <v>249</v>
      </c>
      <c r="AT301" t="s">
        <v>4254</v>
      </c>
      <c r="AU301">
        <v>2004</v>
      </c>
      <c r="AV301">
        <v>32</v>
      </c>
      <c r="AW301">
        <v>10</v>
      </c>
      <c r="AX301" t="s">
        <v>74</v>
      </c>
      <c r="AY301" t="s">
        <v>74</v>
      </c>
      <c r="AZ301" t="s">
        <v>74</v>
      </c>
      <c r="BA301" t="s">
        <v>74</v>
      </c>
      <c r="BB301">
        <v>921</v>
      </c>
      <c r="BC301">
        <v>924</v>
      </c>
      <c r="BD301" t="s">
        <v>74</v>
      </c>
      <c r="BE301" t="s">
        <v>4583</v>
      </c>
      <c r="BF301" t="str">
        <f>HYPERLINK("http://dx.doi.org/10.1130/G20796.1","http://dx.doi.org/10.1130/G20796.1")</f>
        <v>http://dx.doi.org/10.1130/G20796.1</v>
      </c>
      <c r="BG301" t="s">
        <v>74</v>
      </c>
      <c r="BH301" t="s">
        <v>74</v>
      </c>
      <c r="BI301">
        <v>4</v>
      </c>
      <c r="BJ301" t="s">
        <v>249</v>
      </c>
      <c r="BK301" t="s">
        <v>139</v>
      </c>
      <c r="BL301" t="s">
        <v>249</v>
      </c>
      <c r="BM301" t="s">
        <v>4572</v>
      </c>
      <c r="BN301" t="s">
        <v>74</v>
      </c>
      <c r="BO301" t="s">
        <v>74</v>
      </c>
      <c r="BP301" t="s">
        <v>74</v>
      </c>
      <c r="BQ301" t="s">
        <v>74</v>
      </c>
      <c r="BR301" t="s">
        <v>98</v>
      </c>
      <c r="BS301" t="s">
        <v>4584</v>
      </c>
      <c r="BT301" t="str">
        <f>HYPERLINK("https%3A%2F%2Fwww.webofscience.com%2Fwos%2Fwoscc%2Ffull-record%2FWOS:000224417100024","View Full Record in Web of Science")</f>
        <v>View Full Record in Web of Science</v>
      </c>
    </row>
    <row r="302" spans="1:72" x14ac:dyDescent="0.15">
      <c r="A302" t="s">
        <v>122</v>
      </c>
      <c r="B302" t="s">
        <v>4585</v>
      </c>
      <c r="C302" t="s">
        <v>74</v>
      </c>
      <c r="D302" t="s">
        <v>74</v>
      </c>
      <c r="E302" t="s">
        <v>74</v>
      </c>
      <c r="F302" t="s">
        <v>4585</v>
      </c>
      <c r="G302" t="s">
        <v>74</v>
      </c>
      <c r="H302" t="s">
        <v>74</v>
      </c>
      <c r="I302" t="s">
        <v>4586</v>
      </c>
      <c r="J302" t="s">
        <v>1595</v>
      </c>
      <c r="K302" t="s">
        <v>74</v>
      </c>
      <c r="L302" t="s">
        <v>74</v>
      </c>
      <c r="M302" t="s">
        <v>79</v>
      </c>
      <c r="N302" t="s">
        <v>126</v>
      </c>
      <c r="O302" t="s">
        <v>74</v>
      </c>
      <c r="P302" t="s">
        <v>74</v>
      </c>
      <c r="Q302" t="s">
        <v>74</v>
      </c>
      <c r="R302" t="s">
        <v>74</v>
      </c>
      <c r="S302" t="s">
        <v>74</v>
      </c>
      <c r="T302" t="s">
        <v>4587</v>
      </c>
      <c r="U302" t="s">
        <v>4588</v>
      </c>
      <c r="V302" t="s">
        <v>4589</v>
      </c>
      <c r="W302" t="s">
        <v>4590</v>
      </c>
      <c r="X302" t="s">
        <v>4591</v>
      </c>
      <c r="Y302" t="s">
        <v>4592</v>
      </c>
      <c r="Z302" t="s">
        <v>4593</v>
      </c>
      <c r="AA302" t="s">
        <v>74</v>
      </c>
      <c r="AB302" t="s">
        <v>74</v>
      </c>
      <c r="AC302" t="s">
        <v>74</v>
      </c>
      <c r="AD302" t="s">
        <v>74</v>
      </c>
      <c r="AE302" t="s">
        <v>74</v>
      </c>
      <c r="AF302" t="s">
        <v>74</v>
      </c>
      <c r="AG302">
        <v>51</v>
      </c>
      <c r="AH302">
        <v>107</v>
      </c>
      <c r="AI302">
        <v>127</v>
      </c>
      <c r="AJ302">
        <v>0</v>
      </c>
      <c r="AK302">
        <v>22</v>
      </c>
      <c r="AL302" t="s">
        <v>1603</v>
      </c>
      <c r="AM302" t="s">
        <v>1604</v>
      </c>
      <c r="AN302" t="s">
        <v>1605</v>
      </c>
      <c r="AO302" t="s">
        <v>1606</v>
      </c>
      <c r="AP302" t="s">
        <v>1607</v>
      </c>
      <c r="AQ302" t="s">
        <v>74</v>
      </c>
      <c r="AR302" t="s">
        <v>1608</v>
      </c>
      <c r="AS302" t="s">
        <v>1609</v>
      </c>
      <c r="AT302" t="s">
        <v>4254</v>
      </c>
      <c r="AU302">
        <v>2004</v>
      </c>
      <c r="AV302">
        <v>207</v>
      </c>
      <c r="AW302">
        <v>21</v>
      </c>
      <c r="AX302" t="s">
        <v>74</v>
      </c>
      <c r="AY302" t="s">
        <v>74</v>
      </c>
      <c r="AZ302" t="s">
        <v>74</v>
      </c>
      <c r="BA302" t="s">
        <v>74</v>
      </c>
      <c r="BB302">
        <v>3649</v>
      </c>
      <c r="BC302">
        <v>3656</v>
      </c>
      <c r="BD302" t="s">
        <v>74</v>
      </c>
      <c r="BE302" t="s">
        <v>4594</v>
      </c>
      <c r="BF302" t="str">
        <f>HYPERLINK("http://dx.doi.org/10.1242/jeb.01219","http://dx.doi.org/10.1242/jeb.01219")</f>
        <v>http://dx.doi.org/10.1242/jeb.01219</v>
      </c>
      <c r="BG302" t="s">
        <v>74</v>
      </c>
      <c r="BH302" t="s">
        <v>74</v>
      </c>
      <c r="BI302">
        <v>8</v>
      </c>
      <c r="BJ302" t="s">
        <v>1611</v>
      </c>
      <c r="BK302" t="s">
        <v>139</v>
      </c>
      <c r="BL302" t="s">
        <v>1612</v>
      </c>
      <c r="BM302" t="s">
        <v>4595</v>
      </c>
      <c r="BN302">
        <v>15371473</v>
      </c>
      <c r="BO302" t="s">
        <v>74</v>
      </c>
      <c r="BP302" t="s">
        <v>74</v>
      </c>
      <c r="BQ302" t="s">
        <v>74</v>
      </c>
      <c r="BR302" t="s">
        <v>98</v>
      </c>
      <c r="BS302" t="s">
        <v>4596</v>
      </c>
      <c r="BT302" t="str">
        <f>HYPERLINK("https%3A%2F%2Fwww.webofscience.com%2Fwos%2Fwoscc%2Ffull-record%2FWOS:000225093200012","View Full Record in Web of Science")</f>
        <v>View Full Record in Web of Science</v>
      </c>
    </row>
    <row r="303" spans="1:72" x14ac:dyDescent="0.15">
      <c r="A303" t="s">
        <v>122</v>
      </c>
      <c r="B303" t="s">
        <v>4597</v>
      </c>
      <c r="C303" t="s">
        <v>74</v>
      </c>
      <c r="D303" t="s">
        <v>74</v>
      </c>
      <c r="E303" t="s">
        <v>74</v>
      </c>
      <c r="F303" t="s">
        <v>4597</v>
      </c>
      <c r="G303" t="s">
        <v>74</v>
      </c>
      <c r="H303" t="s">
        <v>74</v>
      </c>
      <c r="I303" t="s">
        <v>4598</v>
      </c>
      <c r="J303" t="s">
        <v>1595</v>
      </c>
      <c r="K303" t="s">
        <v>74</v>
      </c>
      <c r="L303" t="s">
        <v>74</v>
      </c>
      <c r="M303" t="s">
        <v>79</v>
      </c>
      <c r="N303" t="s">
        <v>126</v>
      </c>
      <c r="O303" t="s">
        <v>74</v>
      </c>
      <c r="P303" t="s">
        <v>74</v>
      </c>
      <c r="Q303" t="s">
        <v>74</v>
      </c>
      <c r="R303" t="s">
        <v>74</v>
      </c>
      <c r="S303" t="s">
        <v>74</v>
      </c>
      <c r="T303" t="s">
        <v>4599</v>
      </c>
      <c r="U303" t="s">
        <v>4600</v>
      </c>
      <c r="V303" t="s">
        <v>4601</v>
      </c>
      <c r="W303" t="s">
        <v>4602</v>
      </c>
      <c r="X303" t="s">
        <v>4603</v>
      </c>
      <c r="Y303" t="s">
        <v>4604</v>
      </c>
      <c r="Z303" t="s">
        <v>4605</v>
      </c>
      <c r="AA303" t="s">
        <v>74</v>
      </c>
      <c r="AB303" t="s">
        <v>4606</v>
      </c>
      <c r="AC303" t="s">
        <v>74</v>
      </c>
      <c r="AD303" t="s">
        <v>74</v>
      </c>
      <c r="AE303" t="s">
        <v>74</v>
      </c>
      <c r="AF303" t="s">
        <v>74</v>
      </c>
      <c r="AG303">
        <v>47</v>
      </c>
      <c r="AH303">
        <v>27</v>
      </c>
      <c r="AI303">
        <v>28</v>
      </c>
      <c r="AJ303">
        <v>0</v>
      </c>
      <c r="AK303">
        <v>20</v>
      </c>
      <c r="AL303" t="s">
        <v>4607</v>
      </c>
      <c r="AM303" t="s">
        <v>1604</v>
      </c>
      <c r="AN303" t="s">
        <v>4608</v>
      </c>
      <c r="AO303" t="s">
        <v>1606</v>
      </c>
      <c r="AP303" t="s">
        <v>74</v>
      </c>
      <c r="AQ303" t="s">
        <v>74</v>
      </c>
      <c r="AR303" t="s">
        <v>1608</v>
      </c>
      <c r="AS303" t="s">
        <v>1609</v>
      </c>
      <c r="AT303" t="s">
        <v>4254</v>
      </c>
      <c r="AU303">
        <v>2004</v>
      </c>
      <c r="AV303">
        <v>207</v>
      </c>
      <c r="AW303">
        <v>22</v>
      </c>
      <c r="AX303" t="s">
        <v>74</v>
      </c>
      <c r="AY303" t="s">
        <v>74</v>
      </c>
      <c r="AZ303" t="s">
        <v>74</v>
      </c>
      <c r="BA303" t="s">
        <v>74</v>
      </c>
      <c r="BB303">
        <v>3855</v>
      </c>
      <c r="BC303">
        <v>3864</v>
      </c>
      <c r="BD303" t="s">
        <v>74</v>
      </c>
      <c r="BE303" t="s">
        <v>4609</v>
      </c>
      <c r="BF303" t="str">
        <f>HYPERLINK("http://dx.doi.org/10.1242/jeb.01180","http://dx.doi.org/10.1242/jeb.01180")</f>
        <v>http://dx.doi.org/10.1242/jeb.01180</v>
      </c>
      <c r="BG303" t="s">
        <v>74</v>
      </c>
      <c r="BH303" t="s">
        <v>74</v>
      </c>
      <c r="BI303">
        <v>10</v>
      </c>
      <c r="BJ303" t="s">
        <v>1611</v>
      </c>
      <c r="BK303" t="s">
        <v>139</v>
      </c>
      <c r="BL303" t="s">
        <v>1612</v>
      </c>
      <c r="BM303" t="s">
        <v>4610</v>
      </c>
      <c r="BN303">
        <v>15472016</v>
      </c>
      <c r="BO303" t="s">
        <v>273</v>
      </c>
      <c r="BP303" t="s">
        <v>74</v>
      </c>
      <c r="BQ303" t="s">
        <v>74</v>
      </c>
      <c r="BR303" t="s">
        <v>98</v>
      </c>
      <c r="BS303" t="s">
        <v>4611</v>
      </c>
      <c r="BT303" t="str">
        <f>HYPERLINK("https%3A%2F%2Fwww.webofscience.com%2Fwos%2Fwoscc%2Ffull-record%2FWOS:000225669600007","View Full Record in Web of Science")</f>
        <v>View Full Record in Web of Science</v>
      </c>
    </row>
    <row r="304" spans="1:72" x14ac:dyDescent="0.15">
      <c r="A304" t="s">
        <v>122</v>
      </c>
      <c r="B304" t="s">
        <v>4612</v>
      </c>
      <c r="C304" t="s">
        <v>74</v>
      </c>
      <c r="D304" t="s">
        <v>74</v>
      </c>
      <c r="E304" t="s">
        <v>74</v>
      </c>
      <c r="F304" t="s">
        <v>4612</v>
      </c>
      <c r="G304" t="s">
        <v>74</v>
      </c>
      <c r="H304" t="s">
        <v>74</v>
      </c>
      <c r="I304" t="s">
        <v>4613</v>
      </c>
      <c r="J304" t="s">
        <v>4614</v>
      </c>
      <c r="K304" t="s">
        <v>74</v>
      </c>
      <c r="L304" t="s">
        <v>74</v>
      </c>
      <c r="M304" t="s">
        <v>79</v>
      </c>
      <c r="N304" t="s">
        <v>126</v>
      </c>
      <c r="O304" t="s">
        <v>74</v>
      </c>
      <c r="P304" t="s">
        <v>74</v>
      </c>
      <c r="Q304" t="s">
        <v>74</v>
      </c>
      <c r="R304" t="s">
        <v>74</v>
      </c>
      <c r="S304" t="s">
        <v>74</v>
      </c>
      <c r="T304" t="s">
        <v>74</v>
      </c>
      <c r="U304" t="s">
        <v>4615</v>
      </c>
      <c r="V304" t="s">
        <v>4616</v>
      </c>
      <c r="W304" t="s">
        <v>4617</v>
      </c>
      <c r="X304" t="s">
        <v>4618</v>
      </c>
      <c r="Y304" t="s">
        <v>4619</v>
      </c>
      <c r="Z304" t="s">
        <v>4620</v>
      </c>
      <c r="AA304" t="s">
        <v>4621</v>
      </c>
      <c r="AB304" t="s">
        <v>4622</v>
      </c>
      <c r="AC304" t="s">
        <v>74</v>
      </c>
      <c r="AD304" t="s">
        <v>74</v>
      </c>
      <c r="AE304" t="s">
        <v>74</v>
      </c>
      <c r="AF304" t="s">
        <v>74</v>
      </c>
      <c r="AG304">
        <v>38</v>
      </c>
      <c r="AH304">
        <v>10</v>
      </c>
      <c r="AI304">
        <v>13</v>
      </c>
      <c r="AJ304">
        <v>0</v>
      </c>
      <c r="AK304">
        <v>11</v>
      </c>
      <c r="AL304" t="s">
        <v>3640</v>
      </c>
      <c r="AM304" t="s">
        <v>3641</v>
      </c>
      <c r="AN304" t="s">
        <v>3642</v>
      </c>
      <c r="AO304" t="s">
        <v>4623</v>
      </c>
      <c r="AP304" t="s">
        <v>74</v>
      </c>
      <c r="AQ304" t="s">
        <v>74</v>
      </c>
      <c r="AR304" t="s">
        <v>4624</v>
      </c>
      <c r="AS304" t="s">
        <v>4625</v>
      </c>
      <c r="AT304" t="s">
        <v>4254</v>
      </c>
      <c r="AU304">
        <v>2004</v>
      </c>
      <c r="AV304">
        <v>34</v>
      </c>
      <c r="AW304">
        <v>4</v>
      </c>
      <c r="AX304" t="s">
        <v>74</v>
      </c>
      <c r="AY304" t="s">
        <v>74</v>
      </c>
      <c r="AZ304" t="s">
        <v>74</v>
      </c>
      <c r="BA304" t="s">
        <v>74</v>
      </c>
      <c r="BB304">
        <v>294</v>
      </c>
      <c r="BC304">
        <v>307</v>
      </c>
      <c r="BD304" t="s">
        <v>74</v>
      </c>
      <c r="BE304" t="s">
        <v>4626</v>
      </c>
      <c r="BF304" t="str">
        <f>HYPERLINK("http://dx.doi.org/10.2113/34.4.294","http://dx.doi.org/10.2113/34.4.294")</f>
        <v>http://dx.doi.org/10.2113/34.4.294</v>
      </c>
      <c r="BG304" t="s">
        <v>74</v>
      </c>
      <c r="BH304" t="s">
        <v>74</v>
      </c>
      <c r="BI304">
        <v>14</v>
      </c>
      <c r="BJ304" t="s">
        <v>4627</v>
      </c>
      <c r="BK304" t="s">
        <v>139</v>
      </c>
      <c r="BL304" t="s">
        <v>4627</v>
      </c>
      <c r="BM304" t="s">
        <v>4628</v>
      </c>
      <c r="BN304" t="s">
        <v>74</v>
      </c>
      <c r="BO304" t="s">
        <v>74</v>
      </c>
      <c r="BP304" t="s">
        <v>74</v>
      </c>
      <c r="BQ304" t="s">
        <v>74</v>
      </c>
      <c r="BR304" t="s">
        <v>98</v>
      </c>
      <c r="BS304" t="s">
        <v>4629</v>
      </c>
      <c r="BT304" t="str">
        <f>HYPERLINK("https%3A%2F%2Fwww.webofscience.com%2Fwos%2Fwoscc%2Ffull-record%2FWOS:000225870900004","View Full Record in Web of Science")</f>
        <v>View Full Record in Web of Science</v>
      </c>
    </row>
    <row r="305" spans="1:72" x14ac:dyDescent="0.15">
      <c r="A305" t="s">
        <v>122</v>
      </c>
      <c r="B305" t="s">
        <v>4630</v>
      </c>
      <c r="C305" t="s">
        <v>74</v>
      </c>
      <c r="D305" t="s">
        <v>74</v>
      </c>
      <c r="E305" t="s">
        <v>74</v>
      </c>
      <c r="F305" t="s">
        <v>4630</v>
      </c>
      <c r="G305" t="s">
        <v>74</v>
      </c>
      <c r="H305" t="s">
        <v>74</v>
      </c>
      <c r="I305" t="s">
        <v>4631</v>
      </c>
      <c r="J305" t="s">
        <v>4632</v>
      </c>
      <c r="K305" t="s">
        <v>74</v>
      </c>
      <c r="L305" t="s">
        <v>74</v>
      </c>
      <c r="M305" t="s">
        <v>79</v>
      </c>
      <c r="N305" t="s">
        <v>126</v>
      </c>
      <c r="O305" t="s">
        <v>74</v>
      </c>
      <c r="P305" t="s">
        <v>74</v>
      </c>
      <c r="Q305" t="s">
        <v>74</v>
      </c>
      <c r="R305" t="s">
        <v>74</v>
      </c>
      <c r="S305" t="s">
        <v>74</v>
      </c>
      <c r="T305" t="s">
        <v>4633</v>
      </c>
      <c r="U305" t="s">
        <v>4634</v>
      </c>
      <c r="V305" t="s">
        <v>4635</v>
      </c>
      <c r="W305" t="s">
        <v>4636</v>
      </c>
      <c r="X305" t="s">
        <v>4637</v>
      </c>
      <c r="Y305" t="s">
        <v>4638</v>
      </c>
      <c r="Z305" t="s">
        <v>4639</v>
      </c>
      <c r="AA305" t="s">
        <v>74</v>
      </c>
      <c r="AB305" t="s">
        <v>74</v>
      </c>
      <c r="AC305" t="s">
        <v>74</v>
      </c>
      <c r="AD305" t="s">
        <v>74</v>
      </c>
      <c r="AE305" t="s">
        <v>74</v>
      </c>
      <c r="AF305" t="s">
        <v>74</v>
      </c>
      <c r="AG305">
        <v>63</v>
      </c>
      <c r="AH305">
        <v>9</v>
      </c>
      <c r="AI305">
        <v>11</v>
      </c>
      <c r="AJ305">
        <v>0</v>
      </c>
      <c r="AK305">
        <v>8</v>
      </c>
      <c r="AL305" t="s">
        <v>562</v>
      </c>
      <c r="AM305" t="s">
        <v>532</v>
      </c>
      <c r="AN305" t="s">
        <v>563</v>
      </c>
      <c r="AO305" t="s">
        <v>4640</v>
      </c>
      <c r="AP305" t="s">
        <v>74</v>
      </c>
      <c r="AQ305" t="s">
        <v>74</v>
      </c>
      <c r="AR305" t="s">
        <v>4641</v>
      </c>
      <c r="AS305" t="s">
        <v>4642</v>
      </c>
      <c r="AT305" t="s">
        <v>4254</v>
      </c>
      <c r="AU305">
        <v>2004</v>
      </c>
      <c r="AV305">
        <v>50</v>
      </c>
      <c r="AW305" t="s">
        <v>538</v>
      </c>
      <c r="AX305" t="s">
        <v>74</v>
      </c>
      <c r="AY305" t="s">
        <v>74</v>
      </c>
      <c r="AZ305" t="s">
        <v>74</v>
      </c>
      <c r="BA305" t="s">
        <v>74</v>
      </c>
      <c r="BB305">
        <v>243</v>
      </c>
      <c r="BC305">
        <v>261</v>
      </c>
      <c r="BD305" t="s">
        <v>74</v>
      </c>
      <c r="BE305" t="s">
        <v>4643</v>
      </c>
      <c r="BF305" t="str">
        <f>HYPERLINK("http://dx.doi.org/10.1016/j.jmarsys.2004.01.008","http://dx.doi.org/10.1016/j.jmarsys.2004.01.008")</f>
        <v>http://dx.doi.org/10.1016/j.jmarsys.2004.01.008</v>
      </c>
      <c r="BG305" t="s">
        <v>74</v>
      </c>
      <c r="BH305" t="s">
        <v>74</v>
      </c>
      <c r="BI305">
        <v>19</v>
      </c>
      <c r="BJ305" t="s">
        <v>4644</v>
      </c>
      <c r="BK305" t="s">
        <v>139</v>
      </c>
      <c r="BL305" t="s">
        <v>4645</v>
      </c>
      <c r="BM305" t="s">
        <v>4646</v>
      </c>
      <c r="BN305" t="s">
        <v>74</v>
      </c>
      <c r="BO305" t="s">
        <v>74</v>
      </c>
      <c r="BP305" t="s">
        <v>74</v>
      </c>
      <c r="BQ305" t="s">
        <v>74</v>
      </c>
      <c r="BR305" t="s">
        <v>98</v>
      </c>
      <c r="BS305" t="s">
        <v>4647</v>
      </c>
      <c r="BT305" t="str">
        <f>HYPERLINK("https%3A%2F%2Fwww.webofscience.com%2Fwos%2Fwoscc%2Ffull-record%2FWOS:000224842900006","View Full Record in Web of Science")</f>
        <v>View Full Record in Web of Science</v>
      </c>
    </row>
    <row r="306" spans="1:72" x14ac:dyDescent="0.15">
      <c r="A306" t="s">
        <v>122</v>
      </c>
      <c r="B306" t="s">
        <v>4648</v>
      </c>
      <c r="C306" t="s">
        <v>74</v>
      </c>
      <c r="D306" t="s">
        <v>74</v>
      </c>
      <c r="E306" t="s">
        <v>74</v>
      </c>
      <c r="F306" t="s">
        <v>4648</v>
      </c>
      <c r="G306" t="s">
        <v>74</v>
      </c>
      <c r="H306" t="s">
        <v>74</v>
      </c>
      <c r="I306" t="s">
        <v>4649</v>
      </c>
      <c r="J306" t="s">
        <v>4650</v>
      </c>
      <c r="K306" t="s">
        <v>74</v>
      </c>
      <c r="L306" t="s">
        <v>74</v>
      </c>
      <c r="M306" t="s">
        <v>79</v>
      </c>
      <c r="N306" t="s">
        <v>126</v>
      </c>
      <c r="O306" t="s">
        <v>74</v>
      </c>
      <c r="P306" t="s">
        <v>74</v>
      </c>
      <c r="Q306" t="s">
        <v>74</v>
      </c>
      <c r="R306" t="s">
        <v>74</v>
      </c>
      <c r="S306" t="s">
        <v>74</v>
      </c>
      <c r="T306" t="s">
        <v>4651</v>
      </c>
      <c r="U306" t="s">
        <v>4652</v>
      </c>
      <c r="V306" t="s">
        <v>4653</v>
      </c>
      <c r="W306" t="s">
        <v>4654</v>
      </c>
      <c r="X306" t="s">
        <v>4655</v>
      </c>
      <c r="Y306" t="s">
        <v>4656</v>
      </c>
      <c r="Z306" t="s">
        <v>4657</v>
      </c>
      <c r="AA306" t="s">
        <v>4658</v>
      </c>
      <c r="AB306" t="s">
        <v>4659</v>
      </c>
      <c r="AC306" t="s">
        <v>74</v>
      </c>
      <c r="AD306" t="s">
        <v>74</v>
      </c>
      <c r="AE306" t="s">
        <v>74</v>
      </c>
      <c r="AF306" t="s">
        <v>74</v>
      </c>
      <c r="AG306">
        <v>66</v>
      </c>
      <c r="AH306">
        <v>26</v>
      </c>
      <c r="AI306">
        <v>27</v>
      </c>
      <c r="AJ306">
        <v>0</v>
      </c>
      <c r="AK306">
        <v>3</v>
      </c>
      <c r="AL306" t="s">
        <v>1745</v>
      </c>
      <c r="AM306" t="s">
        <v>1419</v>
      </c>
      <c r="AN306" t="s">
        <v>1420</v>
      </c>
      <c r="AO306" t="s">
        <v>4660</v>
      </c>
      <c r="AP306" t="s">
        <v>74</v>
      </c>
      <c r="AQ306" t="s">
        <v>74</v>
      </c>
      <c r="AR306" t="s">
        <v>4661</v>
      </c>
      <c r="AS306" t="s">
        <v>4662</v>
      </c>
      <c r="AT306" t="s">
        <v>4254</v>
      </c>
      <c r="AU306">
        <v>2004</v>
      </c>
      <c r="AV306">
        <v>22</v>
      </c>
      <c r="AW306">
        <v>8</v>
      </c>
      <c r="AX306" t="s">
        <v>74</v>
      </c>
      <c r="AY306" t="s">
        <v>74</v>
      </c>
      <c r="AZ306" t="s">
        <v>74</v>
      </c>
      <c r="BA306" t="s">
        <v>74</v>
      </c>
      <c r="BB306">
        <v>691</v>
      </c>
      <c r="BC306">
        <v>711</v>
      </c>
      <c r="BD306" t="s">
        <v>74</v>
      </c>
      <c r="BE306" t="s">
        <v>4663</v>
      </c>
      <c r="BF306" t="str">
        <f>HYPERLINK("http://dx.doi.org/10.1111/j.1525-1314.2004.00543.x","http://dx.doi.org/10.1111/j.1525-1314.2004.00543.x")</f>
        <v>http://dx.doi.org/10.1111/j.1525-1314.2004.00543.x</v>
      </c>
      <c r="BG306" t="s">
        <v>74</v>
      </c>
      <c r="BH306" t="s">
        <v>74</v>
      </c>
      <c r="BI306">
        <v>21</v>
      </c>
      <c r="BJ306" t="s">
        <v>249</v>
      </c>
      <c r="BK306" t="s">
        <v>139</v>
      </c>
      <c r="BL306" t="s">
        <v>249</v>
      </c>
      <c r="BM306" t="s">
        <v>4664</v>
      </c>
      <c r="BN306" t="s">
        <v>74</v>
      </c>
      <c r="BO306" t="s">
        <v>273</v>
      </c>
      <c r="BP306" t="s">
        <v>74</v>
      </c>
      <c r="BQ306" t="s">
        <v>74</v>
      </c>
      <c r="BR306" t="s">
        <v>98</v>
      </c>
      <c r="BS306" t="s">
        <v>4665</v>
      </c>
      <c r="BT306" t="str">
        <f>HYPERLINK("https%3A%2F%2Fwww.webofscience.com%2Fwos%2Fwoscc%2Ffull-record%2FWOS:000224705100001","View Full Record in Web of Science")</f>
        <v>View Full Record in Web of Science</v>
      </c>
    </row>
    <row r="307" spans="1:72" x14ac:dyDescent="0.15">
      <c r="A307" t="s">
        <v>122</v>
      </c>
      <c r="B307" t="s">
        <v>4666</v>
      </c>
      <c r="C307" t="s">
        <v>74</v>
      </c>
      <c r="D307" t="s">
        <v>74</v>
      </c>
      <c r="E307" t="s">
        <v>74</v>
      </c>
      <c r="F307" t="s">
        <v>4666</v>
      </c>
      <c r="G307" t="s">
        <v>74</v>
      </c>
      <c r="H307" t="s">
        <v>74</v>
      </c>
      <c r="I307" t="s">
        <v>4667</v>
      </c>
      <c r="J307" t="s">
        <v>4668</v>
      </c>
      <c r="K307" t="s">
        <v>74</v>
      </c>
      <c r="L307" t="s">
        <v>74</v>
      </c>
      <c r="M307" t="s">
        <v>79</v>
      </c>
      <c r="N307" t="s">
        <v>126</v>
      </c>
      <c r="O307" t="s">
        <v>74</v>
      </c>
      <c r="P307" t="s">
        <v>74</v>
      </c>
      <c r="Q307" t="s">
        <v>74</v>
      </c>
      <c r="R307" t="s">
        <v>74</v>
      </c>
      <c r="S307" t="s">
        <v>74</v>
      </c>
      <c r="T307" t="s">
        <v>74</v>
      </c>
      <c r="U307" t="s">
        <v>4669</v>
      </c>
      <c r="V307" t="s">
        <v>4670</v>
      </c>
      <c r="W307" t="s">
        <v>4671</v>
      </c>
      <c r="X307" t="s">
        <v>4672</v>
      </c>
      <c r="Y307" t="s">
        <v>502</v>
      </c>
      <c r="Z307" t="s">
        <v>4673</v>
      </c>
      <c r="AA307" t="s">
        <v>4674</v>
      </c>
      <c r="AB307" t="s">
        <v>4675</v>
      </c>
      <c r="AC307" t="s">
        <v>74</v>
      </c>
      <c r="AD307" t="s">
        <v>74</v>
      </c>
      <c r="AE307" t="s">
        <v>74</v>
      </c>
      <c r="AF307" t="s">
        <v>74</v>
      </c>
      <c r="AG307">
        <v>79</v>
      </c>
      <c r="AH307">
        <v>24</v>
      </c>
      <c r="AI307">
        <v>25</v>
      </c>
      <c r="AJ307">
        <v>0</v>
      </c>
      <c r="AK307">
        <v>4</v>
      </c>
      <c r="AL307" t="s">
        <v>4676</v>
      </c>
      <c r="AM307" t="s">
        <v>1167</v>
      </c>
      <c r="AN307" t="s">
        <v>4677</v>
      </c>
      <c r="AO307" t="s">
        <v>4678</v>
      </c>
      <c r="AP307" t="s">
        <v>4679</v>
      </c>
      <c r="AQ307" t="s">
        <v>74</v>
      </c>
      <c r="AR307" t="s">
        <v>4680</v>
      </c>
      <c r="AS307" t="s">
        <v>4681</v>
      </c>
      <c r="AT307" t="s">
        <v>4254</v>
      </c>
      <c r="AU307">
        <v>2004</v>
      </c>
      <c r="AV307">
        <v>33</v>
      </c>
      <c r="AW307">
        <v>2</v>
      </c>
      <c r="AX307" t="s">
        <v>74</v>
      </c>
      <c r="AY307" t="s">
        <v>74</v>
      </c>
      <c r="AZ307" t="s">
        <v>74</v>
      </c>
      <c r="BA307" t="s">
        <v>74</v>
      </c>
      <c r="BB307">
        <v>411</v>
      </c>
      <c r="BC307">
        <v>428</v>
      </c>
      <c r="BD307" t="s">
        <v>74</v>
      </c>
      <c r="BE307" t="s">
        <v>4682</v>
      </c>
      <c r="BF307" t="str">
        <f>HYPERLINK("http://dx.doi.org/10.1677/jme.1.01575","http://dx.doi.org/10.1677/jme.1.01575")</f>
        <v>http://dx.doi.org/10.1677/jme.1.01575</v>
      </c>
      <c r="BG307" t="s">
        <v>74</v>
      </c>
      <c r="BH307" t="s">
        <v>74</v>
      </c>
      <c r="BI307">
        <v>18</v>
      </c>
      <c r="BJ307" t="s">
        <v>4683</v>
      </c>
      <c r="BK307" t="s">
        <v>139</v>
      </c>
      <c r="BL307" t="s">
        <v>4683</v>
      </c>
      <c r="BM307" t="s">
        <v>4684</v>
      </c>
      <c r="BN307">
        <v>15525598</v>
      </c>
      <c r="BO307" t="s">
        <v>273</v>
      </c>
      <c r="BP307" t="s">
        <v>74</v>
      </c>
      <c r="BQ307" t="s">
        <v>74</v>
      </c>
      <c r="BR307" t="s">
        <v>98</v>
      </c>
      <c r="BS307" t="s">
        <v>4685</v>
      </c>
      <c r="BT307" t="str">
        <f>HYPERLINK("https%3A%2F%2Fwww.webofscience.com%2Fwos%2Fwoscc%2Ffull-record%2FWOS:000224638900007","View Full Record in Web of Science")</f>
        <v>View Full Record in Web of Science</v>
      </c>
    </row>
    <row r="308" spans="1:72" x14ac:dyDescent="0.15">
      <c r="A308" t="s">
        <v>122</v>
      </c>
      <c r="B308" t="s">
        <v>4686</v>
      </c>
      <c r="C308" t="s">
        <v>74</v>
      </c>
      <c r="D308" t="s">
        <v>74</v>
      </c>
      <c r="E308" t="s">
        <v>74</v>
      </c>
      <c r="F308" t="s">
        <v>4686</v>
      </c>
      <c r="G308" t="s">
        <v>74</v>
      </c>
      <c r="H308" t="s">
        <v>74</v>
      </c>
      <c r="I308" t="s">
        <v>4687</v>
      </c>
      <c r="J308" t="s">
        <v>4688</v>
      </c>
      <c r="K308" t="s">
        <v>74</v>
      </c>
      <c r="L308" t="s">
        <v>74</v>
      </c>
      <c r="M308" t="s">
        <v>79</v>
      </c>
      <c r="N308" t="s">
        <v>126</v>
      </c>
      <c r="O308" t="s">
        <v>74</v>
      </c>
      <c r="P308" t="s">
        <v>74</v>
      </c>
      <c r="Q308" t="s">
        <v>74</v>
      </c>
      <c r="R308" t="s">
        <v>74</v>
      </c>
      <c r="S308" t="s">
        <v>74</v>
      </c>
      <c r="T308" t="s">
        <v>74</v>
      </c>
      <c r="U308" t="s">
        <v>4689</v>
      </c>
      <c r="V308" t="s">
        <v>4690</v>
      </c>
      <c r="W308" t="s">
        <v>4691</v>
      </c>
      <c r="X308" t="s">
        <v>4692</v>
      </c>
      <c r="Y308" t="s">
        <v>4693</v>
      </c>
      <c r="Z308" t="s">
        <v>4694</v>
      </c>
      <c r="AA308" t="s">
        <v>74</v>
      </c>
      <c r="AB308" t="s">
        <v>74</v>
      </c>
      <c r="AC308" t="s">
        <v>74</v>
      </c>
      <c r="AD308" t="s">
        <v>74</v>
      </c>
      <c r="AE308" t="s">
        <v>74</v>
      </c>
      <c r="AF308" t="s">
        <v>74</v>
      </c>
      <c r="AG308">
        <v>22</v>
      </c>
      <c r="AH308">
        <v>25</v>
      </c>
      <c r="AI308">
        <v>26</v>
      </c>
      <c r="AJ308">
        <v>0</v>
      </c>
      <c r="AK308">
        <v>11</v>
      </c>
      <c r="AL308" t="s">
        <v>2170</v>
      </c>
      <c r="AM308" t="s">
        <v>240</v>
      </c>
      <c r="AN308" t="s">
        <v>2171</v>
      </c>
      <c r="AO308" t="s">
        <v>4695</v>
      </c>
      <c r="AP308" t="s">
        <v>4696</v>
      </c>
      <c r="AQ308" t="s">
        <v>74</v>
      </c>
      <c r="AR308" t="s">
        <v>4697</v>
      </c>
      <c r="AS308" t="s">
        <v>4698</v>
      </c>
      <c r="AT308" t="s">
        <v>4254</v>
      </c>
      <c r="AU308">
        <v>2004</v>
      </c>
      <c r="AV308">
        <v>67</v>
      </c>
      <c r="AW308">
        <v>10</v>
      </c>
      <c r="AX308" t="s">
        <v>74</v>
      </c>
      <c r="AY308" t="s">
        <v>74</v>
      </c>
      <c r="AZ308" t="s">
        <v>74</v>
      </c>
      <c r="BA308" t="s">
        <v>74</v>
      </c>
      <c r="BB308">
        <v>1654</v>
      </c>
      <c r="BC308">
        <v>1660</v>
      </c>
      <c r="BD308" t="s">
        <v>74</v>
      </c>
      <c r="BE308" t="s">
        <v>4699</v>
      </c>
      <c r="BF308" t="str">
        <f>HYPERLINK("http://dx.doi.org/10.1021/np049869b","http://dx.doi.org/10.1021/np049869b")</f>
        <v>http://dx.doi.org/10.1021/np049869b</v>
      </c>
      <c r="BG308" t="s">
        <v>74</v>
      </c>
      <c r="BH308" t="s">
        <v>74</v>
      </c>
      <c r="BI308">
        <v>7</v>
      </c>
      <c r="BJ308" t="s">
        <v>4700</v>
      </c>
      <c r="BK308" t="s">
        <v>4701</v>
      </c>
      <c r="BL308" t="s">
        <v>4702</v>
      </c>
      <c r="BM308" t="s">
        <v>4703</v>
      </c>
      <c r="BN308">
        <v>15497935</v>
      </c>
      <c r="BO308" t="s">
        <v>74</v>
      </c>
      <c r="BP308" t="s">
        <v>74</v>
      </c>
      <c r="BQ308" t="s">
        <v>74</v>
      </c>
      <c r="BR308" t="s">
        <v>98</v>
      </c>
      <c r="BS308" t="s">
        <v>4704</v>
      </c>
      <c r="BT308" t="str">
        <f>HYPERLINK("https%3A%2F%2Fwww.webofscience.com%2Fwos%2Fwoscc%2Ffull-record%2FWOS:000224707700004","View Full Record in Web of Science")</f>
        <v>View Full Record in Web of Science</v>
      </c>
    </row>
    <row r="309" spans="1:72" x14ac:dyDescent="0.15">
      <c r="A309" t="s">
        <v>122</v>
      </c>
      <c r="B309" t="s">
        <v>4705</v>
      </c>
      <c r="C309" t="s">
        <v>74</v>
      </c>
      <c r="D309" t="s">
        <v>74</v>
      </c>
      <c r="E309" t="s">
        <v>74</v>
      </c>
      <c r="F309" t="s">
        <v>4705</v>
      </c>
      <c r="G309" t="s">
        <v>74</v>
      </c>
      <c r="H309" t="s">
        <v>74</v>
      </c>
      <c r="I309" t="s">
        <v>4706</v>
      </c>
      <c r="J309" t="s">
        <v>4707</v>
      </c>
      <c r="K309" t="s">
        <v>74</v>
      </c>
      <c r="L309" t="s">
        <v>74</v>
      </c>
      <c r="M309" t="s">
        <v>79</v>
      </c>
      <c r="N309" t="s">
        <v>126</v>
      </c>
      <c r="O309" t="s">
        <v>74</v>
      </c>
      <c r="P309" t="s">
        <v>74</v>
      </c>
      <c r="Q309" t="s">
        <v>74</v>
      </c>
      <c r="R309" t="s">
        <v>74</v>
      </c>
      <c r="S309" t="s">
        <v>74</v>
      </c>
      <c r="T309" t="s">
        <v>4708</v>
      </c>
      <c r="U309" t="s">
        <v>4709</v>
      </c>
      <c r="V309" t="s">
        <v>4710</v>
      </c>
      <c r="W309" t="s">
        <v>4711</v>
      </c>
      <c r="X309" t="s">
        <v>4712</v>
      </c>
      <c r="Y309" t="s">
        <v>4713</v>
      </c>
      <c r="Z309" t="s">
        <v>4714</v>
      </c>
      <c r="AA309" t="s">
        <v>4715</v>
      </c>
      <c r="AB309" t="s">
        <v>4716</v>
      </c>
      <c r="AC309" t="s">
        <v>74</v>
      </c>
      <c r="AD309" t="s">
        <v>74</v>
      </c>
      <c r="AE309" t="s">
        <v>74</v>
      </c>
      <c r="AF309" t="s">
        <v>74</v>
      </c>
      <c r="AG309">
        <v>67</v>
      </c>
      <c r="AH309">
        <v>37</v>
      </c>
      <c r="AI309">
        <v>43</v>
      </c>
      <c r="AJ309">
        <v>0</v>
      </c>
      <c r="AK309">
        <v>25</v>
      </c>
      <c r="AL309" t="s">
        <v>1755</v>
      </c>
      <c r="AM309" t="s">
        <v>1756</v>
      </c>
      <c r="AN309" t="s">
        <v>1757</v>
      </c>
      <c r="AO309" t="s">
        <v>4717</v>
      </c>
      <c r="AP309" t="s">
        <v>4718</v>
      </c>
      <c r="AQ309" t="s">
        <v>74</v>
      </c>
      <c r="AR309" t="s">
        <v>4719</v>
      </c>
      <c r="AS309" t="s">
        <v>4720</v>
      </c>
      <c r="AT309" t="s">
        <v>4254</v>
      </c>
      <c r="AU309">
        <v>2004</v>
      </c>
      <c r="AV309">
        <v>145</v>
      </c>
      <c r="AW309">
        <v>4</v>
      </c>
      <c r="AX309" t="s">
        <v>74</v>
      </c>
      <c r="AY309" t="s">
        <v>74</v>
      </c>
      <c r="AZ309" t="s">
        <v>74</v>
      </c>
      <c r="BA309" t="s">
        <v>74</v>
      </c>
      <c r="BB309">
        <v>343</v>
      </c>
      <c r="BC309">
        <v>351</v>
      </c>
      <c r="BD309" t="s">
        <v>74</v>
      </c>
      <c r="BE309" t="s">
        <v>4721</v>
      </c>
      <c r="BF309" t="str">
        <f>HYPERLINK("http://dx.doi.org/10.1007/s10336-004-0052-7","http://dx.doi.org/10.1007/s10336-004-0052-7")</f>
        <v>http://dx.doi.org/10.1007/s10336-004-0052-7</v>
      </c>
      <c r="BG309" t="s">
        <v>74</v>
      </c>
      <c r="BH309" t="s">
        <v>74</v>
      </c>
      <c r="BI309">
        <v>9</v>
      </c>
      <c r="BJ309" t="s">
        <v>2055</v>
      </c>
      <c r="BK309" t="s">
        <v>139</v>
      </c>
      <c r="BL309" t="s">
        <v>205</v>
      </c>
      <c r="BM309" t="s">
        <v>4722</v>
      </c>
      <c r="BN309" t="s">
        <v>74</v>
      </c>
      <c r="BO309" t="s">
        <v>74</v>
      </c>
      <c r="BP309" t="s">
        <v>74</v>
      </c>
      <c r="BQ309" t="s">
        <v>74</v>
      </c>
      <c r="BR309" t="s">
        <v>98</v>
      </c>
      <c r="BS309" t="s">
        <v>4723</v>
      </c>
      <c r="BT309" t="str">
        <f>HYPERLINK("https%3A%2F%2Fwww.webofscience.com%2Fwos%2Fwoscc%2Ffull-record%2FWOS:000224616800008","View Full Record in Web of Science")</f>
        <v>View Full Record in Web of Science</v>
      </c>
    </row>
    <row r="310" spans="1:72" x14ac:dyDescent="0.15">
      <c r="A310" t="s">
        <v>122</v>
      </c>
      <c r="B310" t="s">
        <v>4724</v>
      </c>
      <c r="C310" t="s">
        <v>74</v>
      </c>
      <c r="D310" t="s">
        <v>74</v>
      </c>
      <c r="E310" t="s">
        <v>74</v>
      </c>
      <c r="F310" t="s">
        <v>4724</v>
      </c>
      <c r="G310" t="s">
        <v>74</v>
      </c>
      <c r="H310" t="s">
        <v>74</v>
      </c>
      <c r="I310" t="s">
        <v>4725</v>
      </c>
      <c r="J310" t="s">
        <v>1658</v>
      </c>
      <c r="K310" t="s">
        <v>74</v>
      </c>
      <c r="L310" t="s">
        <v>74</v>
      </c>
      <c r="M310" t="s">
        <v>79</v>
      </c>
      <c r="N310" t="s">
        <v>126</v>
      </c>
      <c r="O310" t="s">
        <v>74</v>
      </c>
      <c r="P310" t="s">
        <v>74</v>
      </c>
      <c r="Q310" t="s">
        <v>74</v>
      </c>
      <c r="R310" t="s">
        <v>74</v>
      </c>
      <c r="S310" t="s">
        <v>74</v>
      </c>
      <c r="T310" t="s">
        <v>4726</v>
      </c>
      <c r="U310" t="s">
        <v>4727</v>
      </c>
      <c r="V310" t="s">
        <v>4728</v>
      </c>
      <c r="W310" t="s">
        <v>4729</v>
      </c>
      <c r="X310" t="s">
        <v>4730</v>
      </c>
      <c r="Y310" t="s">
        <v>4731</v>
      </c>
      <c r="Z310" t="s">
        <v>4732</v>
      </c>
      <c r="AA310" t="s">
        <v>4733</v>
      </c>
      <c r="AB310" t="s">
        <v>4734</v>
      </c>
      <c r="AC310" t="s">
        <v>74</v>
      </c>
      <c r="AD310" t="s">
        <v>74</v>
      </c>
      <c r="AE310" t="s">
        <v>74</v>
      </c>
      <c r="AF310" t="s">
        <v>74</v>
      </c>
      <c r="AG310">
        <v>47</v>
      </c>
      <c r="AH310">
        <v>41</v>
      </c>
      <c r="AI310">
        <v>45</v>
      </c>
      <c r="AJ310">
        <v>0</v>
      </c>
      <c r="AK310">
        <v>27</v>
      </c>
      <c r="AL310" t="s">
        <v>4735</v>
      </c>
      <c r="AM310" t="s">
        <v>4736</v>
      </c>
      <c r="AN310" t="s">
        <v>4737</v>
      </c>
      <c r="AO310" t="s">
        <v>1667</v>
      </c>
      <c r="AP310" t="s">
        <v>74</v>
      </c>
      <c r="AQ310" t="s">
        <v>74</v>
      </c>
      <c r="AR310" t="s">
        <v>1669</v>
      </c>
      <c r="AS310" t="s">
        <v>1670</v>
      </c>
      <c r="AT310" t="s">
        <v>4254</v>
      </c>
      <c r="AU310">
        <v>2004</v>
      </c>
      <c r="AV310">
        <v>40</v>
      </c>
      <c r="AW310">
        <v>5</v>
      </c>
      <c r="AX310" t="s">
        <v>74</v>
      </c>
      <c r="AY310" t="s">
        <v>74</v>
      </c>
      <c r="AZ310" t="s">
        <v>74</v>
      </c>
      <c r="BA310" t="s">
        <v>74</v>
      </c>
      <c r="BB310">
        <v>867</v>
      </c>
      <c r="BC310">
        <v>873</v>
      </c>
      <c r="BD310" t="s">
        <v>74</v>
      </c>
      <c r="BE310" t="s">
        <v>4738</v>
      </c>
      <c r="BF310" t="str">
        <f>HYPERLINK("http://dx.doi.org/10.1111/j.1529-8817.2004.03169.x","http://dx.doi.org/10.1111/j.1529-8817.2004.03169.x")</f>
        <v>http://dx.doi.org/10.1111/j.1529-8817.2004.03169.x</v>
      </c>
      <c r="BG310" t="s">
        <v>74</v>
      </c>
      <c r="BH310" t="s">
        <v>74</v>
      </c>
      <c r="BI310">
        <v>7</v>
      </c>
      <c r="BJ310" t="s">
        <v>1672</v>
      </c>
      <c r="BK310" t="s">
        <v>139</v>
      </c>
      <c r="BL310" t="s">
        <v>1672</v>
      </c>
      <c r="BM310" t="s">
        <v>4739</v>
      </c>
      <c r="BN310" t="s">
        <v>74</v>
      </c>
      <c r="BO310" t="s">
        <v>74</v>
      </c>
      <c r="BP310" t="s">
        <v>74</v>
      </c>
      <c r="BQ310" t="s">
        <v>74</v>
      </c>
      <c r="BR310" t="s">
        <v>98</v>
      </c>
      <c r="BS310" t="s">
        <v>4740</v>
      </c>
      <c r="BT310" t="str">
        <f>HYPERLINK("https%3A%2F%2Fwww.webofscience.com%2Fwos%2Fwoscc%2Ffull-record%2FWOS:000224179100009","View Full Record in Web of Science")</f>
        <v>View Full Record in Web of Science</v>
      </c>
    </row>
    <row r="311" spans="1:72" x14ac:dyDescent="0.15">
      <c r="A311" t="s">
        <v>122</v>
      </c>
      <c r="B311" t="s">
        <v>4741</v>
      </c>
      <c r="C311" t="s">
        <v>74</v>
      </c>
      <c r="D311" t="s">
        <v>74</v>
      </c>
      <c r="E311" t="s">
        <v>74</v>
      </c>
      <c r="F311" t="s">
        <v>4741</v>
      </c>
      <c r="G311" t="s">
        <v>74</v>
      </c>
      <c r="H311" t="s">
        <v>74</v>
      </c>
      <c r="I311" t="s">
        <v>4742</v>
      </c>
      <c r="J311" t="s">
        <v>1677</v>
      </c>
      <c r="K311" t="s">
        <v>74</v>
      </c>
      <c r="L311" t="s">
        <v>74</v>
      </c>
      <c r="M311" t="s">
        <v>79</v>
      </c>
      <c r="N311" t="s">
        <v>126</v>
      </c>
      <c r="O311" t="s">
        <v>74</v>
      </c>
      <c r="P311" t="s">
        <v>74</v>
      </c>
      <c r="Q311" t="s">
        <v>74</v>
      </c>
      <c r="R311" t="s">
        <v>74</v>
      </c>
      <c r="S311" t="s">
        <v>74</v>
      </c>
      <c r="T311" t="s">
        <v>74</v>
      </c>
      <c r="U311" t="s">
        <v>4743</v>
      </c>
      <c r="V311" t="s">
        <v>4744</v>
      </c>
      <c r="W311" t="s">
        <v>1680</v>
      </c>
      <c r="X311" t="s">
        <v>1681</v>
      </c>
      <c r="Y311" t="s">
        <v>1682</v>
      </c>
      <c r="Z311" t="s">
        <v>4745</v>
      </c>
      <c r="AA311" t="s">
        <v>4746</v>
      </c>
      <c r="AB311" t="s">
        <v>4747</v>
      </c>
      <c r="AC311" t="s">
        <v>74</v>
      </c>
      <c r="AD311" t="s">
        <v>74</v>
      </c>
      <c r="AE311" t="s">
        <v>74</v>
      </c>
      <c r="AF311" t="s">
        <v>74</v>
      </c>
      <c r="AG311">
        <v>57</v>
      </c>
      <c r="AH311">
        <v>37</v>
      </c>
      <c r="AI311">
        <v>41</v>
      </c>
      <c r="AJ311">
        <v>0</v>
      </c>
      <c r="AK311">
        <v>15</v>
      </c>
      <c r="AL311" t="s">
        <v>1571</v>
      </c>
      <c r="AM311" t="s">
        <v>1572</v>
      </c>
      <c r="AN311" t="s">
        <v>1573</v>
      </c>
      <c r="AO311" t="s">
        <v>1686</v>
      </c>
      <c r="AP311" t="s">
        <v>1687</v>
      </c>
      <c r="AQ311" t="s">
        <v>74</v>
      </c>
      <c r="AR311" t="s">
        <v>1688</v>
      </c>
      <c r="AS311" t="s">
        <v>1689</v>
      </c>
      <c r="AT311" t="s">
        <v>4254</v>
      </c>
      <c r="AU311">
        <v>2004</v>
      </c>
      <c r="AV311">
        <v>34</v>
      </c>
      <c r="AW311">
        <v>10</v>
      </c>
      <c r="AX311" t="s">
        <v>74</v>
      </c>
      <c r="AY311" t="s">
        <v>74</v>
      </c>
      <c r="AZ311" t="s">
        <v>74</v>
      </c>
      <c r="BA311" t="s">
        <v>74</v>
      </c>
      <c r="BB311">
        <v>2160</v>
      </c>
      <c r="BC311">
        <v>2179</v>
      </c>
      <c r="BD311" t="s">
        <v>74</v>
      </c>
      <c r="BE311" t="s">
        <v>4748</v>
      </c>
      <c r="BF311" t="str">
        <f>HYPERLINK("http://dx.doi.org/10.1175/1520-0485(2004)034&lt;2160:AIWCAV&gt;2.0.CO;2","http://dx.doi.org/10.1175/1520-0485(2004)034&lt;2160:AIWCAV&gt;2.0.CO;2")</f>
        <v>http://dx.doi.org/10.1175/1520-0485(2004)034&lt;2160:AIWCAV&gt;2.0.CO;2</v>
      </c>
      <c r="BG311" t="s">
        <v>74</v>
      </c>
      <c r="BH311" t="s">
        <v>74</v>
      </c>
      <c r="BI311">
        <v>20</v>
      </c>
      <c r="BJ311" t="s">
        <v>660</v>
      </c>
      <c r="BK311" t="s">
        <v>139</v>
      </c>
      <c r="BL311" t="s">
        <v>660</v>
      </c>
      <c r="BM311" t="s">
        <v>4749</v>
      </c>
      <c r="BN311" t="s">
        <v>74</v>
      </c>
      <c r="BO311" t="s">
        <v>273</v>
      </c>
      <c r="BP311" t="s">
        <v>74</v>
      </c>
      <c r="BQ311" t="s">
        <v>74</v>
      </c>
      <c r="BR311" t="s">
        <v>98</v>
      </c>
      <c r="BS311" t="s">
        <v>4750</v>
      </c>
      <c r="BT311" t="str">
        <f>HYPERLINK("https%3A%2F%2Fwww.webofscience.com%2Fwos%2Fwoscc%2Ffull-record%2FWOS:000224760200003","View Full Record in Web of Science")</f>
        <v>View Full Record in Web of Science</v>
      </c>
    </row>
    <row r="312" spans="1:72" x14ac:dyDescent="0.15">
      <c r="A312" t="s">
        <v>122</v>
      </c>
      <c r="B312" t="s">
        <v>4751</v>
      </c>
      <c r="C312" t="s">
        <v>74</v>
      </c>
      <c r="D312" t="s">
        <v>74</v>
      </c>
      <c r="E312" t="s">
        <v>74</v>
      </c>
      <c r="F312" t="s">
        <v>4751</v>
      </c>
      <c r="G312" t="s">
        <v>74</v>
      </c>
      <c r="H312" t="s">
        <v>74</v>
      </c>
      <c r="I312" t="s">
        <v>4752</v>
      </c>
      <c r="J312" t="s">
        <v>4753</v>
      </c>
      <c r="K312" t="s">
        <v>74</v>
      </c>
      <c r="L312" t="s">
        <v>74</v>
      </c>
      <c r="M312" t="s">
        <v>79</v>
      </c>
      <c r="N312" t="s">
        <v>126</v>
      </c>
      <c r="O312" t="s">
        <v>74</v>
      </c>
      <c r="P312" t="s">
        <v>74</v>
      </c>
      <c r="Q312" t="s">
        <v>74</v>
      </c>
      <c r="R312" t="s">
        <v>74</v>
      </c>
      <c r="S312" t="s">
        <v>74</v>
      </c>
      <c r="T312" t="s">
        <v>74</v>
      </c>
      <c r="U312" t="s">
        <v>4754</v>
      </c>
      <c r="V312" t="s">
        <v>4755</v>
      </c>
      <c r="W312" t="s">
        <v>4756</v>
      </c>
      <c r="X312" t="s">
        <v>4757</v>
      </c>
      <c r="Y312" t="s">
        <v>4758</v>
      </c>
      <c r="Z312" t="s">
        <v>4759</v>
      </c>
      <c r="AA312" t="s">
        <v>3638</v>
      </c>
      <c r="AB312" t="s">
        <v>74</v>
      </c>
      <c r="AC312" t="s">
        <v>74</v>
      </c>
      <c r="AD312" t="s">
        <v>74</v>
      </c>
      <c r="AE312" t="s">
        <v>74</v>
      </c>
      <c r="AF312" t="s">
        <v>74</v>
      </c>
      <c r="AG312">
        <v>23</v>
      </c>
      <c r="AH312">
        <v>75</v>
      </c>
      <c r="AI312">
        <v>95</v>
      </c>
      <c r="AJ312">
        <v>0</v>
      </c>
      <c r="AK312">
        <v>22</v>
      </c>
      <c r="AL312" t="s">
        <v>919</v>
      </c>
      <c r="AM312" t="s">
        <v>613</v>
      </c>
      <c r="AN312" t="s">
        <v>920</v>
      </c>
      <c r="AO312" t="s">
        <v>4760</v>
      </c>
      <c r="AP312" t="s">
        <v>74</v>
      </c>
      <c r="AQ312" t="s">
        <v>74</v>
      </c>
      <c r="AR312" t="s">
        <v>4761</v>
      </c>
      <c r="AS312" t="s">
        <v>4762</v>
      </c>
      <c r="AT312" t="s">
        <v>4254</v>
      </c>
      <c r="AU312">
        <v>2004</v>
      </c>
      <c r="AV312">
        <v>84</v>
      </c>
      <c r="AW312">
        <v>5</v>
      </c>
      <c r="AX312" t="s">
        <v>74</v>
      </c>
      <c r="AY312" t="s">
        <v>74</v>
      </c>
      <c r="AZ312" t="s">
        <v>74</v>
      </c>
      <c r="BA312" t="s">
        <v>74</v>
      </c>
      <c r="BB312">
        <v>865</v>
      </c>
      <c r="BC312">
        <v>871</v>
      </c>
      <c r="BD312" t="s">
        <v>74</v>
      </c>
      <c r="BE312" t="s">
        <v>4763</v>
      </c>
      <c r="BF312" t="str">
        <f>HYPERLINK("http://dx.doi.org/10.1017/S0025315404010112h","http://dx.doi.org/10.1017/S0025315404010112h")</f>
        <v>http://dx.doi.org/10.1017/S0025315404010112h</v>
      </c>
      <c r="BG312" t="s">
        <v>74</v>
      </c>
      <c r="BH312" t="s">
        <v>74</v>
      </c>
      <c r="BI312">
        <v>7</v>
      </c>
      <c r="BJ312" t="s">
        <v>1763</v>
      </c>
      <c r="BK312" t="s">
        <v>139</v>
      </c>
      <c r="BL312" t="s">
        <v>1763</v>
      </c>
      <c r="BM312" t="s">
        <v>4764</v>
      </c>
      <c r="BN312" t="s">
        <v>74</v>
      </c>
      <c r="BO312" t="s">
        <v>74</v>
      </c>
      <c r="BP312" t="s">
        <v>74</v>
      </c>
      <c r="BQ312" t="s">
        <v>74</v>
      </c>
      <c r="BR312" t="s">
        <v>98</v>
      </c>
      <c r="BS312" t="s">
        <v>4765</v>
      </c>
      <c r="BT312" t="str">
        <f>HYPERLINK("https%3A%2F%2Fwww.webofscience.com%2Fwos%2Fwoscc%2Ffull-record%2FWOS:000225063700001","View Full Record in Web of Science")</f>
        <v>View Full Record in Web of Science</v>
      </c>
    </row>
    <row r="313" spans="1:72" x14ac:dyDescent="0.15">
      <c r="A313" t="s">
        <v>122</v>
      </c>
      <c r="B313" t="s">
        <v>4766</v>
      </c>
      <c r="C313" t="s">
        <v>74</v>
      </c>
      <c r="D313" t="s">
        <v>74</v>
      </c>
      <c r="E313" t="s">
        <v>74</v>
      </c>
      <c r="F313" t="s">
        <v>4766</v>
      </c>
      <c r="G313" t="s">
        <v>74</v>
      </c>
      <c r="H313" t="s">
        <v>74</v>
      </c>
      <c r="I313" t="s">
        <v>4767</v>
      </c>
      <c r="J313" t="s">
        <v>4753</v>
      </c>
      <c r="K313" t="s">
        <v>74</v>
      </c>
      <c r="L313" t="s">
        <v>74</v>
      </c>
      <c r="M313" t="s">
        <v>79</v>
      </c>
      <c r="N313" t="s">
        <v>126</v>
      </c>
      <c r="O313" t="s">
        <v>74</v>
      </c>
      <c r="P313" t="s">
        <v>74</v>
      </c>
      <c r="Q313" t="s">
        <v>74</v>
      </c>
      <c r="R313" t="s">
        <v>74</v>
      </c>
      <c r="S313" t="s">
        <v>74</v>
      </c>
      <c r="T313" t="s">
        <v>74</v>
      </c>
      <c r="U313" t="s">
        <v>4768</v>
      </c>
      <c r="V313" t="s">
        <v>4769</v>
      </c>
      <c r="W313" t="s">
        <v>4770</v>
      </c>
      <c r="X313" t="s">
        <v>4771</v>
      </c>
      <c r="Y313" t="s">
        <v>4772</v>
      </c>
      <c r="Z313" t="s">
        <v>4773</v>
      </c>
      <c r="AA313" t="s">
        <v>74</v>
      </c>
      <c r="AB313" t="s">
        <v>4774</v>
      </c>
      <c r="AC313" t="s">
        <v>74</v>
      </c>
      <c r="AD313" t="s">
        <v>74</v>
      </c>
      <c r="AE313" t="s">
        <v>74</v>
      </c>
      <c r="AF313" t="s">
        <v>74</v>
      </c>
      <c r="AG313">
        <v>23</v>
      </c>
      <c r="AH313">
        <v>7</v>
      </c>
      <c r="AI313">
        <v>9</v>
      </c>
      <c r="AJ313">
        <v>1</v>
      </c>
      <c r="AK313">
        <v>17</v>
      </c>
      <c r="AL313" t="s">
        <v>919</v>
      </c>
      <c r="AM313" t="s">
        <v>613</v>
      </c>
      <c r="AN313" t="s">
        <v>937</v>
      </c>
      <c r="AO313" t="s">
        <v>4760</v>
      </c>
      <c r="AP313" t="s">
        <v>4775</v>
      </c>
      <c r="AQ313" t="s">
        <v>74</v>
      </c>
      <c r="AR313" t="s">
        <v>4761</v>
      </c>
      <c r="AS313" t="s">
        <v>4762</v>
      </c>
      <c r="AT313" t="s">
        <v>4254</v>
      </c>
      <c r="AU313">
        <v>2004</v>
      </c>
      <c r="AV313">
        <v>84</v>
      </c>
      <c r="AW313">
        <v>5</v>
      </c>
      <c r="AX313" t="s">
        <v>74</v>
      </c>
      <c r="AY313" t="s">
        <v>74</v>
      </c>
      <c r="AZ313" t="s">
        <v>74</v>
      </c>
      <c r="BA313" t="s">
        <v>74</v>
      </c>
      <c r="BB313">
        <v>1077</v>
      </c>
      <c r="BC313">
        <v>1084</v>
      </c>
      <c r="BD313" t="s">
        <v>74</v>
      </c>
      <c r="BE313" t="s">
        <v>4776</v>
      </c>
      <c r="BF313" t="str">
        <f>HYPERLINK("http://dx.doi.org/10.1017/S002531540401046Xh","http://dx.doi.org/10.1017/S002531540401046Xh")</f>
        <v>http://dx.doi.org/10.1017/S002531540401046Xh</v>
      </c>
      <c r="BG313" t="s">
        <v>74</v>
      </c>
      <c r="BH313" t="s">
        <v>74</v>
      </c>
      <c r="BI313">
        <v>8</v>
      </c>
      <c r="BJ313" t="s">
        <v>1763</v>
      </c>
      <c r="BK313" t="s">
        <v>139</v>
      </c>
      <c r="BL313" t="s">
        <v>1763</v>
      </c>
      <c r="BM313" t="s">
        <v>4764</v>
      </c>
      <c r="BN313" t="s">
        <v>74</v>
      </c>
      <c r="BO313" t="s">
        <v>74</v>
      </c>
      <c r="BP313" t="s">
        <v>74</v>
      </c>
      <c r="BQ313" t="s">
        <v>74</v>
      </c>
      <c r="BR313" t="s">
        <v>98</v>
      </c>
      <c r="BS313" t="s">
        <v>4777</v>
      </c>
      <c r="BT313" t="str">
        <f>HYPERLINK("https%3A%2F%2Fwww.webofscience.com%2Fwos%2Fwoscc%2Ffull-record%2FWOS:000225063700036","View Full Record in Web of Science")</f>
        <v>View Full Record in Web of Science</v>
      </c>
    </row>
    <row r="314" spans="1:72" x14ac:dyDescent="0.15">
      <c r="A314" t="s">
        <v>122</v>
      </c>
      <c r="B314" t="s">
        <v>4778</v>
      </c>
      <c r="C314" t="s">
        <v>74</v>
      </c>
      <c r="D314" t="s">
        <v>74</v>
      </c>
      <c r="E314" t="s">
        <v>74</v>
      </c>
      <c r="F314" t="s">
        <v>4778</v>
      </c>
      <c r="G314" t="s">
        <v>74</v>
      </c>
      <c r="H314" t="s">
        <v>74</v>
      </c>
      <c r="I314" t="s">
        <v>4779</v>
      </c>
      <c r="J314" t="s">
        <v>1751</v>
      </c>
      <c r="K314" t="s">
        <v>74</v>
      </c>
      <c r="L314" t="s">
        <v>74</v>
      </c>
      <c r="M314" t="s">
        <v>79</v>
      </c>
      <c r="N314" t="s">
        <v>126</v>
      </c>
      <c r="O314" t="s">
        <v>74</v>
      </c>
      <c r="P314" t="s">
        <v>74</v>
      </c>
      <c r="Q314" t="s">
        <v>74</v>
      </c>
      <c r="R314" t="s">
        <v>74</v>
      </c>
      <c r="S314" t="s">
        <v>74</v>
      </c>
      <c r="T314" t="s">
        <v>74</v>
      </c>
      <c r="U314" t="s">
        <v>4780</v>
      </c>
      <c r="V314" t="s">
        <v>4781</v>
      </c>
      <c r="W314" t="s">
        <v>4782</v>
      </c>
      <c r="X314" t="s">
        <v>1367</v>
      </c>
      <c r="Y314" t="s">
        <v>4783</v>
      </c>
      <c r="Z314" t="s">
        <v>1407</v>
      </c>
      <c r="AA314" t="s">
        <v>74</v>
      </c>
      <c r="AB314" t="s">
        <v>4784</v>
      </c>
      <c r="AC314" t="s">
        <v>74</v>
      </c>
      <c r="AD314" t="s">
        <v>74</v>
      </c>
      <c r="AE314" t="s">
        <v>74</v>
      </c>
      <c r="AF314" t="s">
        <v>74</v>
      </c>
      <c r="AG314">
        <v>87</v>
      </c>
      <c r="AH314">
        <v>47</v>
      </c>
      <c r="AI314">
        <v>55</v>
      </c>
      <c r="AJ314">
        <v>0</v>
      </c>
      <c r="AK314">
        <v>15</v>
      </c>
      <c r="AL314" t="s">
        <v>1755</v>
      </c>
      <c r="AM314" t="s">
        <v>1756</v>
      </c>
      <c r="AN314" t="s">
        <v>1757</v>
      </c>
      <c r="AO314" t="s">
        <v>1758</v>
      </c>
      <c r="AP314" t="s">
        <v>1759</v>
      </c>
      <c r="AQ314" t="s">
        <v>74</v>
      </c>
      <c r="AR314" t="s">
        <v>1760</v>
      </c>
      <c r="AS314" t="s">
        <v>1761</v>
      </c>
      <c r="AT314" t="s">
        <v>4254</v>
      </c>
      <c r="AU314">
        <v>2004</v>
      </c>
      <c r="AV314">
        <v>145</v>
      </c>
      <c r="AW314">
        <v>5</v>
      </c>
      <c r="AX314" t="s">
        <v>74</v>
      </c>
      <c r="AY314" t="s">
        <v>74</v>
      </c>
      <c r="AZ314" t="s">
        <v>74</v>
      </c>
      <c r="BA314" t="s">
        <v>74</v>
      </c>
      <c r="BB314">
        <v>885</v>
      </c>
      <c r="BC314">
        <v>894</v>
      </c>
      <c r="BD314" t="s">
        <v>74</v>
      </c>
      <c r="BE314" t="s">
        <v>4785</v>
      </c>
      <c r="BF314" t="str">
        <f>HYPERLINK("http://dx.doi.org/10.1007/s00227-004-1388-5","http://dx.doi.org/10.1007/s00227-004-1388-5")</f>
        <v>http://dx.doi.org/10.1007/s00227-004-1388-5</v>
      </c>
      <c r="BG314" t="s">
        <v>74</v>
      </c>
      <c r="BH314" t="s">
        <v>74</v>
      </c>
      <c r="BI314">
        <v>10</v>
      </c>
      <c r="BJ314" t="s">
        <v>1763</v>
      </c>
      <c r="BK314" t="s">
        <v>139</v>
      </c>
      <c r="BL314" t="s">
        <v>1763</v>
      </c>
      <c r="BM314" t="s">
        <v>4786</v>
      </c>
      <c r="BN314" t="s">
        <v>74</v>
      </c>
      <c r="BO314" t="s">
        <v>74</v>
      </c>
      <c r="BP314" t="s">
        <v>74</v>
      </c>
      <c r="BQ314" t="s">
        <v>74</v>
      </c>
      <c r="BR314" t="s">
        <v>98</v>
      </c>
      <c r="BS314" t="s">
        <v>4787</v>
      </c>
      <c r="BT314" t="str">
        <f>HYPERLINK("https%3A%2F%2Fwww.webofscience.com%2Fwos%2Fwoscc%2Ffull-record%2FWOS:000224616200004","View Full Record in Web of Science")</f>
        <v>View Full Record in Web of Science</v>
      </c>
    </row>
    <row r="315" spans="1:72" x14ac:dyDescent="0.15">
      <c r="A315" t="s">
        <v>122</v>
      </c>
      <c r="B315" t="s">
        <v>4788</v>
      </c>
      <c r="C315" t="s">
        <v>74</v>
      </c>
      <c r="D315" t="s">
        <v>74</v>
      </c>
      <c r="E315" t="s">
        <v>74</v>
      </c>
      <c r="F315" t="s">
        <v>4788</v>
      </c>
      <c r="G315" t="s">
        <v>74</v>
      </c>
      <c r="H315" t="s">
        <v>74</v>
      </c>
      <c r="I315" t="s">
        <v>4789</v>
      </c>
      <c r="J315" t="s">
        <v>1751</v>
      </c>
      <c r="K315" t="s">
        <v>74</v>
      </c>
      <c r="L315" t="s">
        <v>74</v>
      </c>
      <c r="M315" t="s">
        <v>79</v>
      </c>
      <c r="N315" t="s">
        <v>126</v>
      </c>
      <c r="O315" t="s">
        <v>74</v>
      </c>
      <c r="P315" t="s">
        <v>74</v>
      </c>
      <c r="Q315" t="s">
        <v>74</v>
      </c>
      <c r="R315" t="s">
        <v>74</v>
      </c>
      <c r="S315" t="s">
        <v>74</v>
      </c>
      <c r="T315" t="s">
        <v>74</v>
      </c>
      <c r="U315" t="s">
        <v>4790</v>
      </c>
      <c r="V315" t="s">
        <v>4791</v>
      </c>
      <c r="W315" t="s">
        <v>4792</v>
      </c>
      <c r="X315" t="s">
        <v>4793</v>
      </c>
      <c r="Y315" t="s">
        <v>4794</v>
      </c>
      <c r="Z315" t="s">
        <v>4795</v>
      </c>
      <c r="AA315" t="s">
        <v>4796</v>
      </c>
      <c r="AB315" t="s">
        <v>4797</v>
      </c>
      <c r="AC315" t="s">
        <v>74</v>
      </c>
      <c r="AD315" t="s">
        <v>74</v>
      </c>
      <c r="AE315" t="s">
        <v>74</v>
      </c>
      <c r="AF315" t="s">
        <v>74</v>
      </c>
      <c r="AG315">
        <v>44</v>
      </c>
      <c r="AH315">
        <v>25</v>
      </c>
      <c r="AI315">
        <v>38</v>
      </c>
      <c r="AJ315">
        <v>0</v>
      </c>
      <c r="AK315">
        <v>7</v>
      </c>
      <c r="AL315" t="s">
        <v>1509</v>
      </c>
      <c r="AM315" t="s">
        <v>613</v>
      </c>
      <c r="AN315" t="s">
        <v>1776</v>
      </c>
      <c r="AO315" t="s">
        <v>1758</v>
      </c>
      <c r="AP315" t="s">
        <v>74</v>
      </c>
      <c r="AQ315" t="s">
        <v>74</v>
      </c>
      <c r="AR315" t="s">
        <v>1760</v>
      </c>
      <c r="AS315" t="s">
        <v>1761</v>
      </c>
      <c r="AT315" t="s">
        <v>4254</v>
      </c>
      <c r="AU315">
        <v>2004</v>
      </c>
      <c r="AV315">
        <v>145</v>
      </c>
      <c r="AW315">
        <v>5</v>
      </c>
      <c r="AX315" t="s">
        <v>74</v>
      </c>
      <c r="AY315" t="s">
        <v>74</v>
      </c>
      <c r="AZ315" t="s">
        <v>74</v>
      </c>
      <c r="BA315" t="s">
        <v>74</v>
      </c>
      <c r="BB315">
        <v>905</v>
      </c>
      <c r="BC315">
        <v>916</v>
      </c>
      <c r="BD315" t="s">
        <v>74</v>
      </c>
      <c r="BE315" t="s">
        <v>4798</v>
      </c>
      <c r="BF315" t="str">
        <f>HYPERLINK("http://dx.doi.org/10.1007/s00227-004-1375-x","http://dx.doi.org/10.1007/s00227-004-1375-x")</f>
        <v>http://dx.doi.org/10.1007/s00227-004-1375-x</v>
      </c>
      <c r="BG315" t="s">
        <v>74</v>
      </c>
      <c r="BH315" t="s">
        <v>74</v>
      </c>
      <c r="BI315">
        <v>12</v>
      </c>
      <c r="BJ315" t="s">
        <v>1763</v>
      </c>
      <c r="BK315" t="s">
        <v>139</v>
      </c>
      <c r="BL315" t="s">
        <v>1763</v>
      </c>
      <c r="BM315" t="s">
        <v>4786</v>
      </c>
      <c r="BN315" t="s">
        <v>74</v>
      </c>
      <c r="BO315" t="s">
        <v>74</v>
      </c>
      <c r="BP315" t="s">
        <v>74</v>
      </c>
      <c r="BQ315" t="s">
        <v>74</v>
      </c>
      <c r="BR315" t="s">
        <v>98</v>
      </c>
      <c r="BS315" t="s">
        <v>4799</v>
      </c>
      <c r="BT315" t="str">
        <f>HYPERLINK("https%3A%2F%2Fwww.webofscience.com%2Fwos%2Fwoscc%2Ffull-record%2FWOS:000224616200006","View Full Record in Web of Science")</f>
        <v>View Full Record in Web of Science</v>
      </c>
    </row>
    <row r="316" spans="1:72" x14ac:dyDescent="0.15">
      <c r="A316" t="s">
        <v>122</v>
      </c>
      <c r="B316" t="s">
        <v>4800</v>
      </c>
      <c r="C316" t="s">
        <v>74</v>
      </c>
      <c r="D316" t="s">
        <v>74</v>
      </c>
      <c r="E316" t="s">
        <v>74</v>
      </c>
      <c r="F316" t="s">
        <v>4800</v>
      </c>
      <c r="G316" t="s">
        <v>74</v>
      </c>
      <c r="H316" t="s">
        <v>74</v>
      </c>
      <c r="I316" t="s">
        <v>4801</v>
      </c>
      <c r="J316" t="s">
        <v>4802</v>
      </c>
      <c r="K316" t="s">
        <v>74</v>
      </c>
      <c r="L316" t="s">
        <v>74</v>
      </c>
      <c r="M316" t="s">
        <v>79</v>
      </c>
      <c r="N316" t="s">
        <v>126</v>
      </c>
      <c r="O316" t="s">
        <v>74</v>
      </c>
      <c r="P316" t="s">
        <v>74</v>
      </c>
      <c r="Q316" t="s">
        <v>74</v>
      </c>
      <c r="R316" t="s">
        <v>74</v>
      </c>
      <c r="S316" t="s">
        <v>74</v>
      </c>
      <c r="T316" t="s">
        <v>4803</v>
      </c>
      <c r="U316" t="s">
        <v>4804</v>
      </c>
      <c r="V316" t="s">
        <v>4805</v>
      </c>
      <c r="W316" t="s">
        <v>4806</v>
      </c>
      <c r="X316" t="s">
        <v>4807</v>
      </c>
      <c r="Y316" t="s">
        <v>4808</v>
      </c>
      <c r="Z316" t="s">
        <v>4809</v>
      </c>
      <c r="AA316" t="s">
        <v>4810</v>
      </c>
      <c r="AB316" t="s">
        <v>4811</v>
      </c>
      <c r="AC316" t="s">
        <v>74</v>
      </c>
      <c r="AD316" t="s">
        <v>74</v>
      </c>
      <c r="AE316" t="s">
        <v>74</v>
      </c>
      <c r="AF316" t="s">
        <v>74</v>
      </c>
      <c r="AG316">
        <v>47</v>
      </c>
      <c r="AH316">
        <v>12</v>
      </c>
      <c r="AI316">
        <v>13</v>
      </c>
      <c r="AJ316">
        <v>0</v>
      </c>
      <c r="AK316">
        <v>3</v>
      </c>
      <c r="AL316" t="s">
        <v>4812</v>
      </c>
      <c r="AM316" t="s">
        <v>4813</v>
      </c>
      <c r="AN316" t="s">
        <v>4814</v>
      </c>
      <c r="AO316" t="s">
        <v>4815</v>
      </c>
      <c r="AP316" t="s">
        <v>4816</v>
      </c>
      <c r="AQ316" t="s">
        <v>74</v>
      </c>
      <c r="AR316" t="s">
        <v>4817</v>
      </c>
      <c r="AS316" t="s">
        <v>4818</v>
      </c>
      <c r="AT316" t="s">
        <v>4514</v>
      </c>
      <c r="AU316">
        <v>2004</v>
      </c>
      <c r="AV316">
        <v>22</v>
      </c>
      <c r="AW316">
        <v>4</v>
      </c>
      <c r="AX316" t="s">
        <v>74</v>
      </c>
      <c r="AY316" t="s">
        <v>74</v>
      </c>
      <c r="AZ316" t="s">
        <v>74</v>
      </c>
      <c r="BA316" t="s">
        <v>74</v>
      </c>
      <c r="BB316">
        <v>253</v>
      </c>
      <c r="BC316">
        <v>278</v>
      </c>
      <c r="BD316" t="s">
        <v>74</v>
      </c>
      <c r="BE316" t="s">
        <v>4819</v>
      </c>
      <c r="BF316" t="str">
        <f>HYPERLINK("http://dx.doi.org/10.1080/10641190490900853","http://dx.doi.org/10.1080/10641190490900853")</f>
        <v>http://dx.doi.org/10.1080/10641190490900853</v>
      </c>
      <c r="BG316" t="s">
        <v>74</v>
      </c>
      <c r="BH316" t="s">
        <v>74</v>
      </c>
      <c r="BI316">
        <v>26</v>
      </c>
      <c r="BJ316" t="s">
        <v>4820</v>
      </c>
      <c r="BK316" t="s">
        <v>139</v>
      </c>
      <c r="BL316" t="s">
        <v>4821</v>
      </c>
      <c r="BM316" t="s">
        <v>4822</v>
      </c>
      <c r="BN316" t="s">
        <v>74</v>
      </c>
      <c r="BO316" t="s">
        <v>74</v>
      </c>
      <c r="BP316" t="s">
        <v>74</v>
      </c>
      <c r="BQ316" t="s">
        <v>74</v>
      </c>
      <c r="BR316" t="s">
        <v>98</v>
      </c>
      <c r="BS316" t="s">
        <v>4823</v>
      </c>
      <c r="BT316" t="str">
        <f>HYPERLINK("https%3A%2F%2Fwww.webofscience.com%2Fwos%2Fwoscc%2Ffull-record%2FWOS:000226055800003","View Full Record in Web of Science")</f>
        <v>View Full Record in Web of Science</v>
      </c>
    </row>
    <row r="317" spans="1:72" x14ac:dyDescent="0.15">
      <c r="A317" t="s">
        <v>122</v>
      </c>
      <c r="B317" t="s">
        <v>4824</v>
      </c>
      <c r="C317" t="s">
        <v>74</v>
      </c>
      <c r="D317" t="s">
        <v>74</v>
      </c>
      <c r="E317" t="s">
        <v>74</v>
      </c>
      <c r="F317" t="s">
        <v>4824</v>
      </c>
      <c r="G317" t="s">
        <v>74</v>
      </c>
      <c r="H317" t="s">
        <v>74</v>
      </c>
      <c r="I317" t="s">
        <v>4825</v>
      </c>
      <c r="J317" t="s">
        <v>4826</v>
      </c>
      <c r="K317" t="s">
        <v>74</v>
      </c>
      <c r="L317" t="s">
        <v>74</v>
      </c>
      <c r="M317" t="s">
        <v>79</v>
      </c>
      <c r="N317" t="s">
        <v>126</v>
      </c>
      <c r="O317" t="s">
        <v>74</v>
      </c>
      <c r="P317" t="s">
        <v>74</v>
      </c>
      <c r="Q317" t="s">
        <v>74</v>
      </c>
      <c r="R317" t="s">
        <v>74</v>
      </c>
      <c r="S317" t="s">
        <v>74</v>
      </c>
      <c r="T317" t="s">
        <v>4827</v>
      </c>
      <c r="U317" t="s">
        <v>4828</v>
      </c>
      <c r="V317" t="s">
        <v>4829</v>
      </c>
      <c r="W317" t="s">
        <v>4830</v>
      </c>
      <c r="X317" t="s">
        <v>4831</v>
      </c>
      <c r="Y317" t="s">
        <v>4832</v>
      </c>
      <c r="Z317" t="s">
        <v>4833</v>
      </c>
      <c r="AA317" t="s">
        <v>4834</v>
      </c>
      <c r="AB317" t="s">
        <v>4835</v>
      </c>
      <c r="AC317" t="s">
        <v>74</v>
      </c>
      <c r="AD317" t="s">
        <v>74</v>
      </c>
      <c r="AE317" t="s">
        <v>74</v>
      </c>
      <c r="AF317" t="s">
        <v>74</v>
      </c>
      <c r="AG317">
        <v>77</v>
      </c>
      <c r="AH317">
        <v>133</v>
      </c>
      <c r="AI317">
        <v>162</v>
      </c>
      <c r="AJ317">
        <v>2</v>
      </c>
      <c r="AK317">
        <v>46</v>
      </c>
      <c r="AL317" t="s">
        <v>4836</v>
      </c>
      <c r="AM317" t="s">
        <v>3641</v>
      </c>
      <c r="AN317" t="s">
        <v>4837</v>
      </c>
      <c r="AO317" t="s">
        <v>4838</v>
      </c>
      <c r="AP317" t="s">
        <v>74</v>
      </c>
      <c r="AQ317" t="s">
        <v>74</v>
      </c>
      <c r="AR317" t="s">
        <v>4839</v>
      </c>
      <c r="AS317" t="s">
        <v>4840</v>
      </c>
      <c r="AT317" t="s">
        <v>4254</v>
      </c>
      <c r="AU317">
        <v>2004</v>
      </c>
      <c r="AV317">
        <v>20</v>
      </c>
      <c r="AW317">
        <v>4</v>
      </c>
      <c r="AX317" t="s">
        <v>74</v>
      </c>
      <c r="AY317" t="s">
        <v>74</v>
      </c>
      <c r="AZ317" t="s">
        <v>74</v>
      </c>
      <c r="BA317" t="s">
        <v>74</v>
      </c>
      <c r="BB317">
        <v>726</v>
      </c>
      <c r="BC317">
        <v>754</v>
      </c>
      <c r="BD317" t="s">
        <v>74</v>
      </c>
      <c r="BE317" t="s">
        <v>4841</v>
      </c>
      <c r="BF317" t="str">
        <f>HYPERLINK("http://dx.doi.org/10.1111/j.1748-7692.2004.tb01190.x","http://dx.doi.org/10.1111/j.1748-7692.2004.tb01190.x")</f>
        <v>http://dx.doi.org/10.1111/j.1748-7692.2004.tb01190.x</v>
      </c>
      <c r="BG317" t="s">
        <v>74</v>
      </c>
      <c r="BH317" t="s">
        <v>74</v>
      </c>
      <c r="BI317">
        <v>29</v>
      </c>
      <c r="BJ317" t="s">
        <v>4237</v>
      </c>
      <c r="BK317" t="s">
        <v>139</v>
      </c>
      <c r="BL317" t="s">
        <v>4237</v>
      </c>
      <c r="BM317" t="s">
        <v>4842</v>
      </c>
      <c r="BN317" t="s">
        <v>74</v>
      </c>
      <c r="BO317" t="s">
        <v>74</v>
      </c>
      <c r="BP317" t="s">
        <v>74</v>
      </c>
      <c r="BQ317" t="s">
        <v>74</v>
      </c>
      <c r="BR317" t="s">
        <v>98</v>
      </c>
      <c r="BS317" t="s">
        <v>4843</v>
      </c>
      <c r="BT317" t="str">
        <f>HYPERLINK("https%3A%2F%2Fwww.webofscience.com%2Fwos%2Fwoscc%2Ffull-record%2FWOS:000224489000004","View Full Record in Web of Science")</f>
        <v>View Full Record in Web of Science</v>
      </c>
    </row>
    <row r="318" spans="1:72" x14ac:dyDescent="0.15">
      <c r="A318" t="s">
        <v>122</v>
      </c>
      <c r="B318" t="s">
        <v>4844</v>
      </c>
      <c r="C318" t="s">
        <v>74</v>
      </c>
      <c r="D318" t="s">
        <v>74</v>
      </c>
      <c r="E318" t="s">
        <v>74</v>
      </c>
      <c r="F318" t="s">
        <v>4844</v>
      </c>
      <c r="G318" t="s">
        <v>74</v>
      </c>
      <c r="H318" t="s">
        <v>74</v>
      </c>
      <c r="I318" t="s">
        <v>4845</v>
      </c>
      <c r="J318" t="s">
        <v>4846</v>
      </c>
      <c r="K318" t="s">
        <v>74</v>
      </c>
      <c r="L318" t="s">
        <v>74</v>
      </c>
      <c r="M318" t="s">
        <v>79</v>
      </c>
      <c r="N318" t="s">
        <v>126</v>
      </c>
      <c r="O318" t="s">
        <v>74</v>
      </c>
      <c r="P318" t="s">
        <v>74</v>
      </c>
      <c r="Q318" t="s">
        <v>74</v>
      </c>
      <c r="R318" t="s">
        <v>74</v>
      </c>
      <c r="S318" t="s">
        <v>74</v>
      </c>
      <c r="T318" t="s">
        <v>4847</v>
      </c>
      <c r="U318" t="s">
        <v>4848</v>
      </c>
      <c r="V318" t="s">
        <v>4849</v>
      </c>
      <c r="W318" t="s">
        <v>4850</v>
      </c>
      <c r="X318" t="s">
        <v>4851</v>
      </c>
      <c r="Y318" t="s">
        <v>4852</v>
      </c>
      <c r="Z318" t="s">
        <v>4853</v>
      </c>
      <c r="AA318" t="s">
        <v>74</v>
      </c>
      <c r="AB318" t="s">
        <v>74</v>
      </c>
      <c r="AC318" t="s">
        <v>74</v>
      </c>
      <c r="AD318" t="s">
        <v>74</v>
      </c>
      <c r="AE318" t="s">
        <v>74</v>
      </c>
      <c r="AF318" t="s">
        <v>74</v>
      </c>
      <c r="AG318">
        <v>56</v>
      </c>
      <c r="AH318">
        <v>58</v>
      </c>
      <c r="AI318">
        <v>66</v>
      </c>
      <c r="AJ318">
        <v>0</v>
      </c>
      <c r="AK318">
        <v>13</v>
      </c>
      <c r="AL318" t="s">
        <v>562</v>
      </c>
      <c r="AM318" t="s">
        <v>532</v>
      </c>
      <c r="AN318" t="s">
        <v>563</v>
      </c>
      <c r="AO318" t="s">
        <v>4854</v>
      </c>
      <c r="AP318" t="s">
        <v>4855</v>
      </c>
      <c r="AQ318" t="s">
        <v>74</v>
      </c>
      <c r="AR318" t="s">
        <v>4856</v>
      </c>
      <c r="AS318" t="s">
        <v>4857</v>
      </c>
      <c r="AT318" t="s">
        <v>4254</v>
      </c>
      <c r="AU318">
        <v>2004</v>
      </c>
      <c r="AV318">
        <v>53</v>
      </c>
      <c r="AW318" t="s">
        <v>2537</v>
      </c>
      <c r="AX318" t="s">
        <v>74</v>
      </c>
      <c r="AY318" t="s">
        <v>74</v>
      </c>
      <c r="AZ318" t="s">
        <v>74</v>
      </c>
      <c r="BA318" t="s">
        <v>74</v>
      </c>
      <c r="BB318">
        <v>67</v>
      </c>
      <c r="BC318">
        <v>81</v>
      </c>
      <c r="BD318" t="s">
        <v>74</v>
      </c>
      <c r="BE318" t="s">
        <v>4858</v>
      </c>
      <c r="BF318" t="str">
        <f>HYPERLINK("http://dx.doi.org/10.1016/j.marmicro.2004.04.001","http://dx.doi.org/10.1016/j.marmicro.2004.04.001")</f>
        <v>http://dx.doi.org/10.1016/j.marmicro.2004.04.001</v>
      </c>
      <c r="BG318" t="s">
        <v>74</v>
      </c>
      <c r="BH318" t="s">
        <v>74</v>
      </c>
      <c r="BI318">
        <v>15</v>
      </c>
      <c r="BJ318" t="s">
        <v>4627</v>
      </c>
      <c r="BK318" t="s">
        <v>139</v>
      </c>
      <c r="BL318" t="s">
        <v>4627</v>
      </c>
      <c r="BM318" t="s">
        <v>4859</v>
      </c>
      <c r="BN318" t="s">
        <v>74</v>
      </c>
      <c r="BO318" t="s">
        <v>74</v>
      </c>
      <c r="BP318" t="s">
        <v>74</v>
      </c>
      <c r="BQ318" t="s">
        <v>74</v>
      </c>
      <c r="BR318" t="s">
        <v>98</v>
      </c>
      <c r="BS318" t="s">
        <v>4860</v>
      </c>
      <c r="BT318" t="str">
        <f>HYPERLINK("https%3A%2F%2Fwww.webofscience.com%2Fwos%2Fwoscc%2Ffull-record%2FWOS:000225308000004","View Full Record in Web of Science")</f>
        <v>View Full Record in Web of Science</v>
      </c>
    </row>
    <row r="319" spans="1:72" x14ac:dyDescent="0.15">
      <c r="A319" t="s">
        <v>122</v>
      </c>
      <c r="B319" t="s">
        <v>4861</v>
      </c>
      <c r="C319" t="s">
        <v>74</v>
      </c>
      <c r="D319" t="s">
        <v>74</v>
      </c>
      <c r="E319" t="s">
        <v>74</v>
      </c>
      <c r="F319" t="s">
        <v>4861</v>
      </c>
      <c r="G319" t="s">
        <v>74</v>
      </c>
      <c r="H319" t="s">
        <v>74</v>
      </c>
      <c r="I319" t="s">
        <v>4862</v>
      </c>
      <c r="J319" t="s">
        <v>4863</v>
      </c>
      <c r="K319" t="s">
        <v>74</v>
      </c>
      <c r="L319" t="s">
        <v>74</v>
      </c>
      <c r="M319" t="s">
        <v>79</v>
      </c>
      <c r="N319" t="s">
        <v>126</v>
      </c>
      <c r="O319" t="s">
        <v>74</v>
      </c>
      <c r="P319" t="s">
        <v>74</v>
      </c>
      <c r="Q319" t="s">
        <v>74</v>
      </c>
      <c r="R319" t="s">
        <v>74</v>
      </c>
      <c r="S319" t="s">
        <v>74</v>
      </c>
      <c r="T319" t="s">
        <v>74</v>
      </c>
      <c r="U319" t="s">
        <v>4864</v>
      </c>
      <c r="V319" t="s">
        <v>4865</v>
      </c>
      <c r="W319" t="s">
        <v>4866</v>
      </c>
      <c r="X319" t="s">
        <v>4867</v>
      </c>
      <c r="Y319" t="s">
        <v>4868</v>
      </c>
      <c r="Z319" t="s">
        <v>4869</v>
      </c>
      <c r="AA319" t="s">
        <v>4870</v>
      </c>
      <c r="AB319" t="s">
        <v>4871</v>
      </c>
      <c r="AC319" t="s">
        <v>74</v>
      </c>
      <c r="AD319" t="s">
        <v>74</v>
      </c>
      <c r="AE319" t="s">
        <v>74</v>
      </c>
      <c r="AF319" t="s">
        <v>74</v>
      </c>
      <c r="AG319">
        <v>32</v>
      </c>
      <c r="AH319">
        <v>7</v>
      </c>
      <c r="AI319">
        <v>8</v>
      </c>
      <c r="AJ319">
        <v>0</v>
      </c>
      <c r="AK319">
        <v>2</v>
      </c>
      <c r="AL319" t="s">
        <v>1571</v>
      </c>
      <c r="AM319" t="s">
        <v>1572</v>
      </c>
      <c r="AN319" t="s">
        <v>4872</v>
      </c>
      <c r="AO319" t="s">
        <v>4873</v>
      </c>
      <c r="AP319" t="s">
        <v>4874</v>
      </c>
      <c r="AQ319" t="s">
        <v>74</v>
      </c>
      <c r="AR319" t="s">
        <v>4875</v>
      </c>
      <c r="AS319" t="s">
        <v>4876</v>
      </c>
      <c r="AT319" t="s">
        <v>4254</v>
      </c>
      <c r="AU319">
        <v>2004</v>
      </c>
      <c r="AV319">
        <v>132</v>
      </c>
      <c r="AW319">
        <v>10</v>
      </c>
      <c r="AX319" t="s">
        <v>74</v>
      </c>
      <c r="AY319" t="s">
        <v>74</v>
      </c>
      <c r="AZ319" t="s">
        <v>74</v>
      </c>
      <c r="BA319" t="s">
        <v>74</v>
      </c>
      <c r="BB319">
        <v>2463</v>
      </c>
      <c r="BC319">
        <v>2476</v>
      </c>
      <c r="BD319" t="s">
        <v>74</v>
      </c>
      <c r="BE319" t="s">
        <v>4877</v>
      </c>
      <c r="BF319" t="str">
        <f>HYPERLINK("http://dx.doi.org/10.1175/1520-0493(2004)132&lt;2463:AOTNRA&gt;2.0.CO;2","http://dx.doi.org/10.1175/1520-0493(2004)132&lt;2463:AOTNRA&gt;2.0.CO;2")</f>
        <v>http://dx.doi.org/10.1175/1520-0493(2004)132&lt;2463:AOTNRA&gt;2.0.CO;2</v>
      </c>
      <c r="BG319" t="s">
        <v>74</v>
      </c>
      <c r="BH319" t="s">
        <v>74</v>
      </c>
      <c r="BI319">
        <v>14</v>
      </c>
      <c r="BJ319" t="s">
        <v>291</v>
      </c>
      <c r="BK319" t="s">
        <v>139</v>
      </c>
      <c r="BL319" t="s">
        <v>291</v>
      </c>
      <c r="BM319" t="s">
        <v>4878</v>
      </c>
      <c r="BN319" t="s">
        <v>74</v>
      </c>
      <c r="BO319" t="s">
        <v>2236</v>
      </c>
      <c r="BP319" t="s">
        <v>74</v>
      </c>
      <c r="BQ319" t="s">
        <v>74</v>
      </c>
      <c r="BR319" t="s">
        <v>98</v>
      </c>
      <c r="BS319" t="s">
        <v>4879</v>
      </c>
      <c r="BT319" t="str">
        <f>HYPERLINK("https%3A%2F%2Fwww.webofscience.com%2Fwos%2Fwoscc%2Ffull-record%2FWOS:000224282200012","View Full Record in Web of Science")</f>
        <v>View Full Record in Web of Science</v>
      </c>
    </row>
    <row r="320" spans="1:72" x14ac:dyDescent="0.15">
      <c r="A320" t="s">
        <v>122</v>
      </c>
      <c r="B320" t="s">
        <v>4880</v>
      </c>
      <c r="C320" t="s">
        <v>74</v>
      </c>
      <c r="D320" t="s">
        <v>74</v>
      </c>
      <c r="E320" t="s">
        <v>74</v>
      </c>
      <c r="F320" t="s">
        <v>4880</v>
      </c>
      <c r="G320" t="s">
        <v>74</v>
      </c>
      <c r="H320" t="s">
        <v>74</v>
      </c>
      <c r="I320" t="s">
        <v>4881</v>
      </c>
      <c r="J320" t="s">
        <v>4882</v>
      </c>
      <c r="K320" t="s">
        <v>74</v>
      </c>
      <c r="L320" t="s">
        <v>74</v>
      </c>
      <c r="M320" t="s">
        <v>79</v>
      </c>
      <c r="N320" t="s">
        <v>126</v>
      </c>
      <c r="O320" t="s">
        <v>74</v>
      </c>
      <c r="P320" t="s">
        <v>74</v>
      </c>
      <c r="Q320" t="s">
        <v>74</v>
      </c>
      <c r="R320" t="s">
        <v>74</v>
      </c>
      <c r="S320" t="s">
        <v>74</v>
      </c>
      <c r="T320" t="s">
        <v>4883</v>
      </c>
      <c r="U320" t="s">
        <v>4884</v>
      </c>
      <c r="V320" t="s">
        <v>4885</v>
      </c>
      <c r="W320" t="s">
        <v>4886</v>
      </c>
      <c r="X320" t="s">
        <v>4887</v>
      </c>
      <c r="Y320" t="s">
        <v>4888</v>
      </c>
      <c r="Z320" t="s">
        <v>4889</v>
      </c>
      <c r="AA320" t="s">
        <v>4890</v>
      </c>
      <c r="AB320" t="s">
        <v>4891</v>
      </c>
      <c r="AC320" t="s">
        <v>74</v>
      </c>
      <c r="AD320" t="s">
        <v>74</v>
      </c>
      <c r="AE320" t="s">
        <v>74</v>
      </c>
      <c r="AF320" t="s">
        <v>74</v>
      </c>
      <c r="AG320">
        <v>13</v>
      </c>
      <c r="AH320">
        <v>8</v>
      </c>
      <c r="AI320">
        <v>8</v>
      </c>
      <c r="AJ320">
        <v>0</v>
      </c>
      <c r="AK320">
        <v>0</v>
      </c>
      <c r="AL320" t="s">
        <v>4892</v>
      </c>
      <c r="AM320" t="s">
        <v>4893</v>
      </c>
      <c r="AN320" t="s">
        <v>4894</v>
      </c>
      <c r="AO320" t="s">
        <v>4895</v>
      </c>
      <c r="AP320" t="s">
        <v>74</v>
      </c>
      <c r="AQ320" t="s">
        <v>74</v>
      </c>
      <c r="AR320" t="s">
        <v>4882</v>
      </c>
      <c r="AS320" t="s">
        <v>4896</v>
      </c>
      <c r="AT320" t="s">
        <v>4514</v>
      </c>
      <c r="AU320">
        <v>2004</v>
      </c>
      <c r="AV320">
        <v>90</v>
      </c>
      <c r="AW320">
        <v>2</v>
      </c>
      <c r="AX320" t="s">
        <v>74</v>
      </c>
      <c r="AY320" t="s">
        <v>74</v>
      </c>
      <c r="AZ320" t="s">
        <v>74</v>
      </c>
      <c r="BA320" t="s">
        <v>74</v>
      </c>
      <c r="BB320">
        <v>343</v>
      </c>
      <c r="BC320">
        <v>347</v>
      </c>
      <c r="BD320" t="s">
        <v>74</v>
      </c>
      <c r="BE320" t="s">
        <v>74</v>
      </c>
      <c r="BF320" t="s">
        <v>74</v>
      </c>
      <c r="BG320" t="s">
        <v>74</v>
      </c>
      <c r="BH320" t="s">
        <v>74</v>
      </c>
      <c r="BI320">
        <v>5</v>
      </c>
      <c r="BJ320" t="s">
        <v>4515</v>
      </c>
      <c r="BK320" t="s">
        <v>139</v>
      </c>
      <c r="BL320" t="s">
        <v>4515</v>
      </c>
      <c r="BM320" t="s">
        <v>4897</v>
      </c>
      <c r="BN320" t="s">
        <v>74</v>
      </c>
      <c r="BO320" t="s">
        <v>74</v>
      </c>
      <c r="BP320" t="s">
        <v>74</v>
      </c>
      <c r="BQ320" t="s">
        <v>74</v>
      </c>
      <c r="BR320" t="s">
        <v>98</v>
      </c>
      <c r="BS320" t="s">
        <v>4898</v>
      </c>
      <c r="BT320" t="str">
        <f>HYPERLINK("https%3A%2F%2Fwww.webofscience.com%2Fwos%2Fwoscc%2Ffull-record%2FWOS:000226154100014","View Full Record in Web of Science")</f>
        <v>View Full Record in Web of Science</v>
      </c>
    </row>
    <row r="321" spans="1:72" x14ac:dyDescent="0.15">
      <c r="A321" t="s">
        <v>122</v>
      </c>
      <c r="B321" t="s">
        <v>4899</v>
      </c>
      <c r="C321" t="s">
        <v>74</v>
      </c>
      <c r="D321" t="s">
        <v>74</v>
      </c>
      <c r="E321" t="s">
        <v>74</v>
      </c>
      <c r="F321" t="s">
        <v>4899</v>
      </c>
      <c r="G321" t="s">
        <v>74</v>
      </c>
      <c r="H321" t="s">
        <v>74</v>
      </c>
      <c r="I321" t="s">
        <v>4900</v>
      </c>
      <c r="J321" t="s">
        <v>4901</v>
      </c>
      <c r="K321" t="s">
        <v>74</v>
      </c>
      <c r="L321" t="s">
        <v>74</v>
      </c>
      <c r="M321" t="s">
        <v>79</v>
      </c>
      <c r="N321" t="s">
        <v>126</v>
      </c>
      <c r="O321" t="s">
        <v>74</v>
      </c>
      <c r="P321" t="s">
        <v>74</v>
      </c>
      <c r="Q321" t="s">
        <v>74</v>
      </c>
      <c r="R321" t="s">
        <v>74</v>
      </c>
      <c r="S321" t="s">
        <v>74</v>
      </c>
      <c r="T321" t="s">
        <v>74</v>
      </c>
      <c r="U321" t="s">
        <v>4902</v>
      </c>
      <c r="V321" t="s">
        <v>4903</v>
      </c>
      <c r="W321" t="s">
        <v>4904</v>
      </c>
      <c r="X321" t="s">
        <v>4905</v>
      </c>
      <c r="Y321" t="s">
        <v>4906</v>
      </c>
      <c r="Z321" t="s">
        <v>4907</v>
      </c>
      <c r="AA321" t="s">
        <v>74</v>
      </c>
      <c r="AB321" t="s">
        <v>4908</v>
      </c>
      <c r="AC321" t="s">
        <v>74</v>
      </c>
      <c r="AD321" t="s">
        <v>74</v>
      </c>
      <c r="AE321" t="s">
        <v>74</v>
      </c>
      <c r="AF321" t="s">
        <v>74</v>
      </c>
      <c r="AG321">
        <v>14</v>
      </c>
      <c r="AH321">
        <v>5</v>
      </c>
      <c r="AI321">
        <v>6</v>
      </c>
      <c r="AJ321">
        <v>1</v>
      </c>
      <c r="AK321">
        <v>3</v>
      </c>
      <c r="AL321" t="s">
        <v>4909</v>
      </c>
      <c r="AM321" t="s">
        <v>3345</v>
      </c>
      <c r="AN321" t="s">
        <v>4910</v>
      </c>
      <c r="AO321" t="s">
        <v>4911</v>
      </c>
      <c r="AP321" t="s">
        <v>4912</v>
      </c>
      <c r="AQ321" t="s">
        <v>74</v>
      </c>
      <c r="AR321" t="s">
        <v>4913</v>
      </c>
      <c r="AS321" t="s">
        <v>4914</v>
      </c>
      <c r="AT321" t="s">
        <v>4254</v>
      </c>
      <c r="AU321">
        <v>2004</v>
      </c>
      <c r="AV321">
        <v>70</v>
      </c>
      <c r="AW321">
        <v>10</v>
      </c>
      <c r="AX321" t="s">
        <v>74</v>
      </c>
      <c r="AY321" t="s">
        <v>74</v>
      </c>
      <c r="AZ321" t="s">
        <v>74</v>
      </c>
      <c r="BA321" t="s">
        <v>74</v>
      </c>
      <c r="BB321">
        <v>1145</v>
      </c>
      <c r="BC321">
        <v>1149</v>
      </c>
      <c r="BD321" t="s">
        <v>74</v>
      </c>
      <c r="BE321" t="s">
        <v>74</v>
      </c>
      <c r="BF321" t="s">
        <v>74</v>
      </c>
      <c r="BG321" t="s">
        <v>74</v>
      </c>
      <c r="BH321" t="s">
        <v>74</v>
      </c>
      <c r="BI321">
        <v>5</v>
      </c>
      <c r="BJ321" t="s">
        <v>4915</v>
      </c>
      <c r="BK321" t="s">
        <v>139</v>
      </c>
      <c r="BL321" t="s">
        <v>4916</v>
      </c>
      <c r="BM321" t="s">
        <v>4917</v>
      </c>
      <c r="BN321" t="s">
        <v>74</v>
      </c>
      <c r="BO321" t="s">
        <v>74</v>
      </c>
      <c r="BP321" t="s">
        <v>74</v>
      </c>
      <c r="BQ321" t="s">
        <v>74</v>
      </c>
      <c r="BR321" t="s">
        <v>98</v>
      </c>
      <c r="BS321" t="s">
        <v>4918</v>
      </c>
      <c r="BT321" t="str">
        <f>HYPERLINK("https%3A%2F%2Fwww.webofscience.com%2Fwos%2Fwoscc%2Ffull-record%2FWOS:000224312300006","View Full Record in Web of Science")</f>
        <v>View Full Record in Web of Science</v>
      </c>
    </row>
    <row r="322" spans="1:72" x14ac:dyDescent="0.15">
      <c r="A322" t="s">
        <v>122</v>
      </c>
      <c r="B322" t="s">
        <v>4919</v>
      </c>
      <c r="C322" t="s">
        <v>74</v>
      </c>
      <c r="D322" t="s">
        <v>74</v>
      </c>
      <c r="E322" t="s">
        <v>74</v>
      </c>
      <c r="F322" t="s">
        <v>4919</v>
      </c>
      <c r="G322" t="s">
        <v>74</v>
      </c>
      <c r="H322" t="s">
        <v>74</v>
      </c>
      <c r="I322" t="s">
        <v>4920</v>
      </c>
      <c r="J322" t="s">
        <v>1912</v>
      </c>
      <c r="K322" t="s">
        <v>74</v>
      </c>
      <c r="L322" t="s">
        <v>74</v>
      </c>
      <c r="M322" t="s">
        <v>79</v>
      </c>
      <c r="N322" t="s">
        <v>581</v>
      </c>
      <c r="O322" t="s">
        <v>74</v>
      </c>
      <c r="P322" t="s">
        <v>74</v>
      </c>
      <c r="Q322" t="s">
        <v>74</v>
      </c>
      <c r="R322" t="s">
        <v>74</v>
      </c>
      <c r="S322" t="s">
        <v>74</v>
      </c>
      <c r="T322" t="s">
        <v>74</v>
      </c>
      <c r="U322" t="s">
        <v>4921</v>
      </c>
      <c r="V322" t="s">
        <v>4922</v>
      </c>
      <c r="W322" t="s">
        <v>4923</v>
      </c>
      <c r="X322" t="s">
        <v>4924</v>
      </c>
      <c r="Y322" t="s">
        <v>4925</v>
      </c>
      <c r="Z322" t="s">
        <v>4926</v>
      </c>
      <c r="AA322" t="s">
        <v>4927</v>
      </c>
      <c r="AB322" t="s">
        <v>4928</v>
      </c>
      <c r="AC322" t="s">
        <v>74</v>
      </c>
      <c r="AD322" t="s">
        <v>74</v>
      </c>
      <c r="AE322" t="s">
        <v>74</v>
      </c>
      <c r="AF322" t="s">
        <v>74</v>
      </c>
      <c r="AG322">
        <v>90</v>
      </c>
      <c r="AH322">
        <v>58</v>
      </c>
      <c r="AI322">
        <v>65</v>
      </c>
      <c r="AJ322">
        <v>2</v>
      </c>
      <c r="AK322">
        <v>27</v>
      </c>
      <c r="AL322" t="s">
        <v>1509</v>
      </c>
      <c r="AM322" t="s">
        <v>613</v>
      </c>
      <c r="AN322" t="s">
        <v>1776</v>
      </c>
      <c r="AO322" t="s">
        <v>1921</v>
      </c>
      <c r="AP322" t="s">
        <v>74</v>
      </c>
      <c r="AQ322" t="s">
        <v>74</v>
      </c>
      <c r="AR322" t="s">
        <v>1922</v>
      </c>
      <c r="AS322" t="s">
        <v>1923</v>
      </c>
      <c r="AT322" t="s">
        <v>4254</v>
      </c>
      <c r="AU322">
        <v>2004</v>
      </c>
      <c r="AV322">
        <v>27</v>
      </c>
      <c r="AW322">
        <v>11</v>
      </c>
      <c r="AX322" t="s">
        <v>74</v>
      </c>
      <c r="AY322" t="s">
        <v>74</v>
      </c>
      <c r="AZ322" t="s">
        <v>74</v>
      </c>
      <c r="BA322" t="s">
        <v>74</v>
      </c>
      <c r="BB322">
        <v>637</v>
      </c>
      <c r="BC322">
        <v>650</v>
      </c>
      <c r="BD322" t="s">
        <v>74</v>
      </c>
      <c r="BE322" t="s">
        <v>4929</v>
      </c>
      <c r="BF322" t="str">
        <f>HYPERLINK("http://dx.doi.org/10.1007/s00300-004-0632-2","http://dx.doi.org/10.1007/s00300-004-0632-2")</f>
        <v>http://dx.doi.org/10.1007/s00300-004-0632-2</v>
      </c>
      <c r="BG322" t="s">
        <v>74</v>
      </c>
      <c r="BH322" t="s">
        <v>74</v>
      </c>
      <c r="BI322">
        <v>14</v>
      </c>
      <c r="BJ322" t="s">
        <v>1491</v>
      </c>
      <c r="BK322" t="s">
        <v>139</v>
      </c>
      <c r="BL322" t="s">
        <v>1337</v>
      </c>
      <c r="BM322" t="s">
        <v>4930</v>
      </c>
      <c r="BN322" t="s">
        <v>74</v>
      </c>
      <c r="BO322" t="s">
        <v>74</v>
      </c>
      <c r="BP322" t="s">
        <v>74</v>
      </c>
      <c r="BQ322" t="s">
        <v>74</v>
      </c>
      <c r="BR322" t="s">
        <v>98</v>
      </c>
      <c r="BS322" t="s">
        <v>4931</v>
      </c>
      <c r="BT322" t="str">
        <f>HYPERLINK("https%3A%2F%2Fwww.webofscience.com%2Fwos%2Fwoscc%2Ffull-record%2FWOS:000224752200001","View Full Record in Web of Science")</f>
        <v>View Full Record in Web of Science</v>
      </c>
    </row>
    <row r="323" spans="1:72" x14ac:dyDescent="0.15">
      <c r="A323" t="s">
        <v>122</v>
      </c>
      <c r="B323" t="s">
        <v>4932</v>
      </c>
      <c r="C323" t="s">
        <v>74</v>
      </c>
      <c r="D323" t="s">
        <v>74</v>
      </c>
      <c r="E323" t="s">
        <v>74</v>
      </c>
      <c r="F323" t="s">
        <v>4932</v>
      </c>
      <c r="G323" t="s">
        <v>74</v>
      </c>
      <c r="H323" t="s">
        <v>74</v>
      </c>
      <c r="I323" t="s">
        <v>4933</v>
      </c>
      <c r="J323" t="s">
        <v>1912</v>
      </c>
      <c r="K323" t="s">
        <v>74</v>
      </c>
      <c r="L323" t="s">
        <v>74</v>
      </c>
      <c r="M323" t="s">
        <v>79</v>
      </c>
      <c r="N323" t="s">
        <v>126</v>
      </c>
      <c r="O323" t="s">
        <v>74</v>
      </c>
      <c r="P323" t="s">
        <v>74</v>
      </c>
      <c r="Q323" t="s">
        <v>74</v>
      </c>
      <c r="R323" t="s">
        <v>74</v>
      </c>
      <c r="S323" t="s">
        <v>74</v>
      </c>
      <c r="T323" t="s">
        <v>74</v>
      </c>
      <c r="U323" t="s">
        <v>4934</v>
      </c>
      <c r="V323" t="s">
        <v>4935</v>
      </c>
      <c r="W323" t="s">
        <v>4936</v>
      </c>
      <c r="X323" t="s">
        <v>4937</v>
      </c>
      <c r="Y323" t="s">
        <v>4938</v>
      </c>
      <c r="Z323" t="s">
        <v>4939</v>
      </c>
      <c r="AA323" t="s">
        <v>4940</v>
      </c>
      <c r="AB323" t="s">
        <v>74</v>
      </c>
      <c r="AC323" t="s">
        <v>74</v>
      </c>
      <c r="AD323" t="s">
        <v>74</v>
      </c>
      <c r="AE323" t="s">
        <v>74</v>
      </c>
      <c r="AF323" t="s">
        <v>74</v>
      </c>
      <c r="AG323">
        <v>34</v>
      </c>
      <c r="AH323">
        <v>45</v>
      </c>
      <c r="AI323">
        <v>58</v>
      </c>
      <c r="AJ323">
        <v>2</v>
      </c>
      <c r="AK323">
        <v>15</v>
      </c>
      <c r="AL323" t="s">
        <v>1509</v>
      </c>
      <c r="AM323" t="s">
        <v>613</v>
      </c>
      <c r="AN323" t="s">
        <v>1821</v>
      </c>
      <c r="AO323" t="s">
        <v>1921</v>
      </c>
      <c r="AP323" t="s">
        <v>1937</v>
      </c>
      <c r="AQ323" t="s">
        <v>74</v>
      </c>
      <c r="AR323" t="s">
        <v>1922</v>
      </c>
      <c r="AS323" t="s">
        <v>1923</v>
      </c>
      <c r="AT323" t="s">
        <v>4254</v>
      </c>
      <c r="AU323">
        <v>2004</v>
      </c>
      <c r="AV323">
        <v>27</v>
      </c>
      <c r="AW323">
        <v>11</v>
      </c>
      <c r="AX323" t="s">
        <v>74</v>
      </c>
      <c r="AY323" t="s">
        <v>74</v>
      </c>
      <c r="AZ323" t="s">
        <v>74</v>
      </c>
      <c r="BA323" t="s">
        <v>74</v>
      </c>
      <c r="BB323">
        <v>670</v>
      </c>
      <c r="BC323">
        <v>678</v>
      </c>
      <c r="BD323" t="s">
        <v>74</v>
      </c>
      <c r="BE323" t="s">
        <v>4941</v>
      </c>
      <c r="BF323" t="str">
        <f>HYPERLINK("http://dx.doi.org/10.1007/s00300-004-0635-z","http://dx.doi.org/10.1007/s00300-004-0635-z")</f>
        <v>http://dx.doi.org/10.1007/s00300-004-0635-z</v>
      </c>
      <c r="BG323" t="s">
        <v>74</v>
      </c>
      <c r="BH323" t="s">
        <v>74</v>
      </c>
      <c r="BI323">
        <v>9</v>
      </c>
      <c r="BJ323" t="s">
        <v>1491</v>
      </c>
      <c r="BK323" t="s">
        <v>139</v>
      </c>
      <c r="BL323" t="s">
        <v>1337</v>
      </c>
      <c r="BM323" t="s">
        <v>4930</v>
      </c>
      <c r="BN323" t="s">
        <v>74</v>
      </c>
      <c r="BO323" t="s">
        <v>74</v>
      </c>
      <c r="BP323" t="s">
        <v>74</v>
      </c>
      <c r="BQ323" t="s">
        <v>74</v>
      </c>
      <c r="BR323" t="s">
        <v>98</v>
      </c>
      <c r="BS323" t="s">
        <v>4942</v>
      </c>
      <c r="BT323" t="str">
        <f>HYPERLINK("https%3A%2F%2Fwww.webofscience.com%2Fwos%2Fwoscc%2Ffull-record%2FWOS:000224752200004","View Full Record in Web of Science")</f>
        <v>View Full Record in Web of Science</v>
      </c>
    </row>
    <row r="324" spans="1:72" x14ac:dyDescent="0.15">
      <c r="A324" t="s">
        <v>122</v>
      </c>
      <c r="B324" t="s">
        <v>4943</v>
      </c>
      <c r="C324" t="s">
        <v>74</v>
      </c>
      <c r="D324" t="s">
        <v>74</v>
      </c>
      <c r="E324" t="s">
        <v>74</v>
      </c>
      <c r="F324" t="s">
        <v>4943</v>
      </c>
      <c r="G324" t="s">
        <v>74</v>
      </c>
      <c r="H324" t="s">
        <v>74</v>
      </c>
      <c r="I324" t="s">
        <v>4944</v>
      </c>
      <c r="J324" t="s">
        <v>1912</v>
      </c>
      <c r="K324" t="s">
        <v>74</v>
      </c>
      <c r="L324" t="s">
        <v>74</v>
      </c>
      <c r="M324" t="s">
        <v>79</v>
      </c>
      <c r="N324" t="s">
        <v>126</v>
      </c>
      <c r="O324" t="s">
        <v>74</v>
      </c>
      <c r="P324" t="s">
        <v>74</v>
      </c>
      <c r="Q324" t="s">
        <v>74</v>
      </c>
      <c r="R324" t="s">
        <v>74</v>
      </c>
      <c r="S324" t="s">
        <v>74</v>
      </c>
      <c r="T324" t="s">
        <v>74</v>
      </c>
      <c r="U324" t="s">
        <v>4945</v>
      </c>
      <c r="V324" t="s">
        <v>4946</v>
      </c>
      <c r="W324" t="s">
        <v>4947</v>
      </c>
      <c r="X324" t="s">
        <v>4948</v>
      </c>
      <c r="Y324" t="s">
        <v>4949</v>
      </c>
      <c r="Z324" t="s">
        <v>4950</v>
      </c>
      <c r="AA324" t="s">
        <v>4951</v>
      </c>
      <c r="AB324" t="s">
        <v>4952</v>
      </c>
      <c r="AC324" t="s">
        <v>74</v>
      </c>
      <c r="AD324" t="s">
        <v>74</v>
      </c>
      <c r="AE324" t="s">
        <v>74</v>
      </c>
      <c r="AF324" t="s">
        <v>74</v>
      </c>
      <c r="AG324">
        <v>32</v>
      </c>
      <c r="AH324">
        <v>46</v>
      </c>
      <c r="AI324">
        <v>52</v>
      </c>
      <c r="AJ324">
        <v>0</v>
      </c>
      <c r="AK324">
        <v>12</v>
      </c>
      <c r="AL324" t="s">
        <v>1509</v>
      </c>
      <c r="AM324" t="s">
        <v>613</v>
      </c>
      <c r="AN324" t="s">
        <v>1776</v>
      </c>
      <c r="AO324" t="s">
        <v>1921</v>
      </c>
      <c r="AP324" t="s">
        <v>74</v>
      </c>
      <c r="AQ324" t="s">
        <v>74</v>
      </c>
      <c r="AR324" t="s">
        <v>1922</v>
      </c>
      <c r="AS324" t="s">
        <v>1923</v>
      </c>
      <c r="AT324" t="s">
        <v>4254</v>
      </c>
      <c r="AU324">
        <v>2004</v>
      </c>
      <c r="AV324">
        <v>27</v>
      </c>
      <c r="AW324">
        <v>11</v>
      </c>
      <c r="AX324" t="s">
        <v>74</v>
      </c>
      <c r="AY324" t="s">
        <v>74</v>
      </c>
      <c r="AZ324" t="s">
        <v>74</v>
      </c>
      <c r="BA324" t="s">
        <v>74</v>
      </c>
      <c r="BB324">
        <v>679</v>
      </c>
      <c r="BC324">
        <v>686</v>
      </c>
      <c r="BD324" t="s">
        <v>74</v>
      </c>
      <c r="BE324" t="s">
        <v>4953</v>
      </c>
      <c r="BF324" t="str">
        <f>HYPERLINK("http://dx.doi.org/10.1007/s00300-004-0636-y","http://dx.doi.org/10.1007/s00300-004-0636-y")</f>
        <v>http://dx.doi.org/10.1007/s00300-004-0636-y</v>
      </c>
      <c r="BG324" t="s">
        <v>74</v>
      </c>
      <c r="BH324" t="s">
        <v>74</v>
      </c>
      <c r="BI324">
        <v>8</v>
      </c>
      <c r="BJ324" t="s">
        <v>1491</v>
      </c>
      <c r="BK324" t="s">
        <v>139</v>
      </c>
      <c r="BL324" t="s">
        <v>1337</v>
      </c>
      <c r="BM324" t="s">
        <v>4930</v>
      </c>
      <c r="BN324" t="s">
        <v>74</v>
      </c>
      <c r="BO324" t="s">
        <v>74</v>
      </c>
      <c r="BP324" t="s">
        <v>74</v>
      </c>
      <c r="BQ324" t="s">
        <v>74</v>
      </c>
      <c r="BR324" t="s">
        <v>98</v>
      </c>
      <c r="BS324" t="s">
        <v>4954</v>
      </c>
      <c r="BT324" t="str">
        <f>HYPERLINK("https%3A%2F%2Fwww.webofscience.com%2Fwos%2Fwoscc%2Ffull-record%2FWOS:000224752200005","View Full Record in Web of Science")</f>
        <v>View Full Record in Web of Science</v>
      </c>
    </row>
    <row r="325" spans="1:72" x14ac:dyDescent="0.15">
      <c r="A325" t="s">
        <v>122</v>
      </c>
      <c r="B325" t="s">
        <v>4955</v>
      </c>
      <c r="C325" t="s">
        <v>74</v>
      </c>
      <c r="D325" t="s">
        <v>74</v>
      </c>
      <c r="E325" t="s">
        <v>74</v>
      </c>
      <c r="F325" t="s">
        <v>4955</v>
      </c>
      <c r="G325" t="s">
        <v>74</v>
      </c>
      <c r="H325" t="s">
        <v>74</v>
      </c>
      <c r="I325" t="s">
        <v>4956</v>
      </c>
      <c r="J325" t="s">
        <v>1912</v>
      </c>
      <c r="K325" t="s">
        <v>74</v>
      </c>
      <c r="L325" t="s">
        <v>74</v>
      </c>
      <c r="M325" t="s">
        <v>79</v>
      </c>
      <c r="N325" t="s">
        <v>126</v>
      </c>
      <c r="O325" t="s">
        <v>74</v>
      </c>
      <c r="P325" t="s">
        <v>74</v>
      </c>
      <c r="Q325" t="s">
        <v>74</v>
      </c>
      <c r="R325" t="s">
        <v>74</v>
      </c>
      <c r="S325" t="s">
        <v>74</v>
      </c>
      <c r="T325" t="s">
        <v>74</v>
      </c>
      <c r="U325" t="s">
        <v>4957</v>
      </c>
      <c r="V325" t="s">
        <v>4958</v>
      </c>
      <c r="W325" t="s">
        <v>4959</v>
      </c>
      <c r="X325" t="s">
        <v>4960</v>
      </c>
      <c r="Y325" t="s">
        <v>4961</v>
      </c>
      <c r="Z325" t="s">
        <v>4962</v>
      </c>
      <c r="AA325" t="s">
        <v>74</v>
      </c>
      <c r="AB325" t="s">
        <v>74</v>
      </c>
      <c r="AC325" t="s">
        <v>74</v>
      </c>
      <c r="AD325" t="s">
        <v>74</v>
      </c>
      <c r="AE325" t="s">
        <v>74</v>
      </c>
      <c r="AF325" t="s">
        <v>74</v>
      </c>
      <c r="AG325">
        <v>42</v>
      </c>
      <c r="AH325">
        <v>21</v>
      </c>
      <c r="AI325">
        <v>25</v>
      </c>
      <c r="AJ325">
        <v>0</v>
      </c>
      <c r="AK325">
        <v>10</v>
      </c>
      <c r="AL325" t="s">
        <v>1509</v>
      </c>
      <c r="AM325" t="s">
        <v>613</v>
      </c>
      <c r="AN325" t="s">
        <v>1776</v>
      </c>
      <c r="AO325" t="s">
        <v>1921</v>
      </c>
      <c r="AP325" t="s">
        <v>74</v>
      </c>
      <c r="AQ325" t="s">
        <v>74</v>
      </c>
      <c r="AR325" t="s">
        <v>1922</v>
      </c>
      <c r="AS325" t="s">
        <v>1923</v>
      </c>
      <c r="AT325" t="s">
        <v>4254</v>
      </c>
      <c r="AU325">
        <v>2004</v>
      </c>
      <c r="AV325">
        <v>27</v>
      </c>
      <c r="AW325">
        <v>11</v>
      </c>
      <c r="AX325" t="s">
        <v>74</v>
      </c>
      <c r="AY325" t="s">
        <v>74</v>
      </c>
      <c r="AZ325" t="s">
        <v>74</v>
      </c>
      <c r="BA325" t="s">
        <v>74</v>
      </c>
      <c r="BB325">
        <v>687</v>
      </c>
      <c r="BC325">
        <v>698</v>
      </c>
      <c r="BD325" t="s">
        <v>74</v>
      </c>
      <c r="BE325" t="s">
        <v>4963</v>
      </c>
      <c r="BF325" t="str">
        <f>HYPERLINK("http://dx.doi.org/10.1007/s00300-004-0640-2","http://dx.doi.org/10.1007/s00300-004-0640-2")</f>
        <v>http://dx.doi.org/10.1007/s00300-004-0640-2</v>
      </c>
      <c r="BG325" t="s">
        <v>74</v>
      </c>
      <c r="BH325" t="s">
        <v>74</v>
      </c>
      <c r="BI325">
        <v>12</v>
      </c>
      <c r="BJ325" t="s">
        <v>1491</v>
      </c>
      <c r="BK325" t="s">
        <v>139</v>
      </c>
      <c r="BL325" t="s">
        <v>1337</v>
      </c>
      <c r="BM325" t="s">
        <v>4930</v>
      </c>
      <c r="BN325" t="s">
        <v>74</v>
      </c>
      <c r="BO325" t="s">
        <v>74</v>
      </c>
      <c r="BP325" t="s">
        <v>74</v>
      </c>
      <c r="BQ325" t="s">
        <v>74</v>
      </c>
      <c r="BR325" t="s">
        <v>98</v>
      </c>
      <c r="BS325" t="s">
        <v>4964</v>
      </c>
      <c r="BT325" t="str">
        <f>HYPERLINK("https%3A%2F%2Fwww.webofscience.com%2Fwos%2Fwoscc%2Ffull-record%2FWOS:000224752200006","View Full Record in Web of Science")</f>
        <v>View Full Record in Web of Science</v>
      </c>
    </row>
    <row r="326" spans="1:72" x14ac:dyDescent="0.15">
      <c r="A326" t="s">
        <v>122</v>
      </c>
      <c r="B326" t="s">
        <v>4965</v>
      </c>
      <c r="C326" t="s">
        <v>74</v>
      </c>
      <c r="D326" t="s">
        <v>74</v>
      </c>
      <c r="E326" t="s">
        <v>74</v>
      </c>
      <c r="F326" t="s">
        <v>4965</v>
      </c>
      <c r="G326" t="s">
        <v>74</v>
      </c>
      <c r="H326" t="s">
        <v>74</v>
      </c>
      <c r="I326" t="s">
        <v>4966</v>
      </c>
      <c r="J326" t="s">
        <v>1912</v>
      </c>
      <c r="K326" t="s">
        <v>74</v>
      </c>
      <c r="L326" t="s">
        <v>74</v>
      </c>
      <c r="M326" t="s">
        <v>79</v>
      </c>
      <c r="N326" t="s">
        <v>126</v>
      </c>
      <c r="O326" t="s">
        <v>74</v>
      </c>
      <c r="P326" t="s">
        <v>74</v>
      </c>
      <c r="Q326" t="s">
        <v>74</v>
      </c>
      <c r="R326" t="s">
        <v>74</v>
      </c>
      <c r="S326" t="s">
        <v>74</v>
      </c>
      <c r="T326" t="s">
        <v>74</v>
      </c>
      <c r="U326" t="s">
        <v>4967</v>
      </c>
      <c r="V326" t="s">
        <v>4968</v>
      </c>
      <c r="W326" t="s">
        <v>4969</v>
      </c>
      <c r="X326" t="s">
        <v>4970</v>
      </c>
      <c r="Y326" t="s">
        <v>4971</v>
      </c>
      <c r="Z326" t="s">
        <v>4972</v>
      </c>
      <c r="AA326" t="s">
        <v>74</v>
      </c>
      <c r="AB326" t="s">
        <v>74</v>
      </c>
      <c r="AC326" t="s">
        <v>74</v>
      </c>
      <c r="AD326" t="s">
        <v>74</v>
      </c>
      <c r="AE326" t="s">
        <v>74</v>
      </c>
      <c r="AF326" t="s">
        <v>74</v>
      </c>
      <c r="AG326">
        <v>43</v>
      </c>
      <c r="AH326">
        <v>69</v>
      </c>
      <c r="AI326">
        <v>78</v>
      </c>
      <c r="AJ326">
        <v>0</v>
      </c>
      <c r="AK326">
        <v>14</v>
      </c>
      <c r="AL326" t="s">
        <v>1509</v>
      </c>
      <c r="AM326" t="s">
        <v>613</v>
      </c>
      <c r="AN326" t="s">
        <v>1821</v>
      </c>
      <c r="AO326" t="s">
        <v>1921</v>
      </c>
      <c r="AP326" t="s">
        <v>1937</v>
      </c>
      <c r="AQ326" t="s">
        <v>74</v>
      </c>
      <c r="AR326" t="s">
        <v>1922</v>
      </c>
      <c r="AS326" t="s">
        <v>1923</v>
      </c>
      <c r="AT326" t="s">
        <v>4254</v>
      </c>
      <c r="AU326">
        <v>2004</v>
      </c>
      <c r="AV326">
        <v>27</v>
      </c>
      <c r="AW326">
        <v>11</v>
      </c>
      <c r="AX326" t="s">
        <v>74</v>
      </c>
      <c r="AY326" t="s">
        <v>74</v>
      </c>
      <c r="AZ326" t="s">
        <v>74</v>
      </c>
      <c r="BA326" t="s">
        <v>74</v>
      </c>
      <c r="BB326">
        <v>699</v>
      </c>
      <c r="BC326">
        <v>710</v>
      </c>
      <c r="BD326" t="s">
        <v>74</v>
      </c>
      <c r="BE326" t="s">
        <v>4973</v>
      </c>
      <c r="BF326" t="str">
        <f>HYPERLINK("http://dx.doi.org/10.1007/s00300-004-0641-1","http://dx.doi.org/10.1007/s00300-004-0641-1")</f>
        <v>http://dx.doi.org/10.1007/s00300-004-0641-1</v>
      </c>
      <c r="BG326" t="s">
        <v>74</v>
      </c>
      <c r="BH326" t="s">
        <v>74</v>
      </c>
      <c r="BI326">
        <v>12</v>
      </c>
      <c r="BJ326" t="s">
        <v>1491</v>
      </c>
      <c r="BK326" t="s">
        <v>139</v>
      </c>
      <c r="BL326" t="s">
        <v>1337</v>
      </c>
      <c r="BM326" t="s">
        <v>4930</v>
      </c>
      <c r="BN326" t="s">
        <v>74</v>
      </c>
      <c r="BO326" t="s">
        <v>74</v>
      </c>
      <c r="BP326" t="s">
        <v>74</v>
      </c>
      <c r="BQ326" t="s">
        <v>74</v>
      </c>
      <c r="BR326" t="s">
        <v>98</v>
      </c>
      <c r="BS326" t="s">
        <v>4974</v>
      </c>
      <c r="BT326" t="str">
        <f>HYPERLINK("https%3A%2F%2Fwww.webofscience.com%2Fwos%2Fwoscc%2Ffull-record%2FWOS:000224752200007","View Full Record in Web of Science")</f>
        <v>View Full Record in Web of Science</v>
      </c>
    </row>
    <row r="327" spans="1:72" x14ac:dyDescent="0.15">
      <c r="A327" t="s">
        <v>122</v>
      </c>
      <c r="B327" t="s">
        <v>4975</v>
      </c>
      <c r="C327" t="s">
        <v>74</v>
      </c>
      <c r="D327" t="s">
        <v>74</v>
      </c>
      <c r="E327" t="s">
        <v>74</v>
      </c>
      <c r="F327" t="s">
        <v>4975</v>
      </c>
      <c r="G327" t="s">
        <v>74</v>
      </c>
      <c r="H327" t="s">
        <v>74</v>
      </c>
      <c r="I327" t="s">
        <v>4976</v>
      </c>
      <c r="J327" t="s">
        <v>4977</v>
      </c>
      <c r="K327" t="s">
        <v>74</v>
      </c>
      <c r="L327" t="s">
        <v>74</v>
      </c>
      <c r="M327" t="s">
        <v>79</v>
      </c>
      <c r="N327" t="s">
        <v>126</v>
      </c>
      <c r="O327" t="s">
        <v>74</v>
      </c>
      <c r="P327" t="s">
        <v>74</v>
      </c>
      <c r="Q327" t="s">
        <v>74</v>
      </c>
      <c r="R327" t="s">
        <v>74</v>
      </c>
      <c r="S327" t="s">
        <v>74</v>
      </c>
      <c r="T327" t="s">
        <v>74</v>
      </c>
      <c r="U327" t="s">
        <v>74</v>
      </c>
      <c r="V327" t="s">
        <v>4978</v>
      </c>
      <c r="W327" t="s">
        <v>4979</v>
      </c>
      <c r="X327" t="s">
        <v>4793</v>
      </c>
      <c r="Y327" t="s">
        <v>4980</v>
      </c>
      <c r="Z327" t="s">
        <v>74</v>
      </c>
      <c r="AA327" t="s">
        <v>4981</v>
      </c>
      <c r="AB327" t="s">
        <v>74</v>
      </c>
      <c r="AC327" t="s">
        <v>74</v>
      </c>
      <c r="AD327" t="s">
        <v>74</v>
      </c>
      <c r="AE327" t="s">
        <v>74</v>
      </c>
      <c r="AF327" t="s">
        <v>74</v>
      </c>
      <c r="AG327">
        <v>38</v>
      </c>
      <c r="AH327">
        <v>18</v>
      </c>
      <c r="AI327">
        <v>18</v>
      </c>
      <c r="AJ327">
        <v>0</v>
      </c>
      <c r="AK327">
        <v>7</v>
      </c>
      <c r="AL327" t="s">
        <v>919</v>
      </c>
      <c r="AM327" t="s">
        <v>613</v>
      </c>
      <c r="AN327" t="s">
        <v>920</v>
      </c>
      <c r="AO327" t="s">
        <v>4982</v>
      </c>
      <c r="AP327" t="s">
        <v>74</v>
      </c>
      <c r="AQ327" t="s">
        <v>74</v>
      </c>
      <c r="AR327" t="s">
        <v>4983</v>
      </c>
      <c r="AS327" t="s">
        <v>4984</v>
      </c>
      <c r="AT327" t="s">
        <v>4254</v>
      </c>
      <c r="AU327">
        <v>2004</v>
      </c>
      <c r="AV327">
        <v>40</v>
      </c>
      <c r="AW327">
        <v>215</v>
      </c>
      <c r="AX327" t="s">
        <v>74</v>
      </c>
      <c r="AY327" t="s">
        <v>74</v>
      </c>
      <c r="AZ327" t="s">
        <v>74</v>
      </c>
      <c r="BA327" t="s">
        <v>74</v>
      </c>
      <c r="BB327">
        <v>309</v>
      </c>
      <c r="BC327">
        <v>317</v>
      </c>
      <c r="BD327" t="s">
        <v>74</v>
      </c>
      <c r="BE327" t="s">
        <v>4985</v>
      </c>
      <c r="BF327" t="str">
        <f>HYPERLINK("http://dx.doi.org/10.1017/S0032247404003791","http://dx.doi.org/10.1017/S0032247404003791")</f>
        <v>http://dx.doi.org/10.1017/S0032247404003791</v>
      </c>
      <c r="BG327" t="s">
        <v>74</v>
      </c>
      <c r="BH327" t="s">
        <v>74</v>
      </c>
      <c r="BI327">
        <v>9</v>
      </c>
      <c r="BJ327" t="s">
        <v>1304</v>
      </c>
      <c r="BK327" t="s">
        <v>139</v>
      </c>
      <c r="BL327" t="s">
        <v>1305</v>
      </c>
      <c r="BM327" t="s">
        <v>4986</v>
      </c>
      <c r="BN327" t="s">
        <v>74</v>
      </c>
      <c r="BO327" t="s">
        <v>988</v>
      </c>
      <c r="BP327" t="s">
        <v>74</v>
      </c>
      <c r="BQ327" t="s">
        <v>74</v>
      </c>
      <c r="BR327" t="s">
        <v>98</v>
      </c>
      <c r="BS327" t="s">
        <v>4987</v>
      </c>
      <c r="BT327" t="str">
        <f>HYPERLINK("https%3A%2F%2Fwww.webofscience.com%2Fwos%2Fwoscc%2Ffull-record%2FWOS:000229453800003","View Full Record in Web of Science")</f>
        <v>View Full Record in Web of Science</v>
      </c>
    </row>
    <row r="328" spans="1:72" x14ac:dyDescent="0.15">
      <c r="A328" t="s">
        <v>122</v>
      </c>
      <c r="B328" t="s">
        <v>4988</v>
      </c>
      <c r="C328" t="s">
        <v>74</v>
      </c>
      <c r="D328" t="s">
        <v>74</v>
      </c>
      <c r="E328" t="s">
        <v>74</v>
      </c>
      <c r="F328" t="s">
        <v>4988</v>
      </c>
      <c r="G328" t="s">
        <v>74</v>
      </c>
      <c r="H328" t="s">
        <v>74</v>
      </c>
      <c r="I328" t="s">
        <v>4989</v>
      </c>
      <c r="J328" t="s">
        <v>4977</v>
      </c>
      <c r="K328" t="s">
        <v>74</v>
      </c>
      <c r="L328" t="s">
        <v>74</v>
      </c>
      <c r="M328" t="s">
        <v>79</v>
      </c>
      <c r="N328" t="s">
        <v>126</v>
      </c>
      <c r="O328" t="s">
        <v>74</v>
      </c>
      <c r="P328" t="s">
        <v>74</v>
      </c>
      <c r="Q328" t="s">
        <v>74</v>
      </c>
      <c r="R328" t="s">
        <v>74</v>
      </c>
      <c r="S328" t="s">
        <v>74</v>
      </c>
      <c r="T328" t="s">
        <v>74</v>
      </c>
      <c r="U328" t="s">
        <v>4990</v>
      </c>
      <c r="V328" t="s">
        <v>4991</v>
      </c>
      <c r="W328" t="s">
        <v>4992</v>
      </c>
      <c r="X328" t="s">
        <v>4993</v>
      </c>
      <c r="Y328" t="s">
        <v>4994</v>
      </c>
      <c r="Z328" t="s">
        <v>74</v>
      </c>
      <c r="AA328" t="s">
        <v>74</v>
      </c>
      <c r="AB328" t="s">
        <v>74</v>
      </c>
      <c r="AC328" t="s">
        <v>74</v>
      </c>
      <c r="AD328" t="s">
        <v>74</v>
      </c>
      <c r="AE328" t="s">
        <v>74</v>
      </c>
      <c r="AF328" t="s">
        <v>74</v>
      </c>
      <c r="AG328">
        <v>51</v>
      </c>
      <c r="AH328">
        <v>28</v>
      </c>
      <c r="AI328">
        <v>33</v>
      </c>
      <c r="AJ328">
        <v>1</v>
      </c>
      <c r="AK328">
        <v>28</v>
      </c>
      <c r="AL328" t="s">
        <v>919</v>
      </c>
      <c r="AM328" t="s">
        <v>613</v>
      </c>
      <c r="AN328" t="s">
        <v>937</v>
      </c>
      <c r="AO328" t="s">
        <v>4982</v>
      </c>
      <c r="AP328" t="s">
        <v>74</v>
      </c>
      <c r="AQ328" t="s">
        <v>74</v>
      </c>
      <c r="AR328" t="s">
        <v>4983</v>
      </c>
      <c r="AS328" t="s">
        <v>4984</v>
      </c>
      <c r="AT328" t="s">
        <v>4254</v>
      </c>
      <c r="AU328">
        <v>2004</v>
      </c>
      <c r="AV328">
        <v>40</v>
      </c>
      <c r="AW328">
        <v>215</v>
      </c>
      <c r="AX328" t="s">
        <v>74</v>
      </c>
      <c r="AY328" t="s">
        <v>74</v>
      </c>
      <c r="AZ328" t="s">
        <v>74</v>
      </c>
      <c r="BA328" t="s">
        <v>74</v>
      </c>
      <c r="BB328">
        <v>345</v>
      </c>
      <c r="BC328">
        <v>353</v>
      </c>
      <c r="BD328" t="s">
        <v>74</v>
      </c>
      <c r="BE328" t="s">
        <v>4995</v>
      </c>
      <c r="BF328" t="str">
        <f>HYPERLINK("http://dx.doi.org/10.1017/S0032247404003845","http://dx.doi.org/10.1017/S0032247404003845")</f>
        <v>http://dx.doi.org/10.1017/S0032247404003845</v>
      </c>
      <c r="BG328" t="s">
        <v>74</v>
      </c>
      <c r="BH328" t="s">
        <v>74</v>
      </c>
      <c r="BI328">
        <v>9</v>
      </c>
      <c r="BJ328" t="s">
        <v>1304</v>
      </c>
      <c r="BK328" t="s">
        <v>139</v>
      </c>
      <c r="BL328" t="s">
        <v>1305</v>
      </c>
      <c r="BM328" t="s">
        <v>4986</v>
      </c>
      <c r="BN328" t="s">
        <v>74</v>
      </c>
      <c r="BO328" t="s">
        <v>74</v>
      </c>
      <c r="BP328" t="s">
        <v>74</v>
      </c>
      <c r="BQ328" t="s">
        <v>74</v>
      </c>
      <c r="BR328" t="s">
        <v>98</v>
      </c>
      <c r="BS328" t="s">
        <v>4996</v>
      </c>
      <c r="BT328" t="str">
        <f>HYPERLINK("https%3A%2F%2Fwww.webofscience.com%2Fwos%2Fwoscc%2Ffull-record%2FWOS:000229453800006","View Full Record in Web of Science")</f>
        <v>View Full Record in Web of Science</v>
      </c>
    </row>
    <row r="329" spans="1:72" x14ac:dyDescent="0.15">
      <c r="A329" t="s">
        <v>122</v>
      </c>
      <c r="B329" t="s">
        <v>4997</v>
      </c>
      <c r="C329" t="s">
        <v>74</v>
      </c>
      <c r="D329" t="s">
        <v>74</v>
      </c>
      <c r="E329" t="s">
        <v>74</v>
      </c>
      <c r="F329" t="s">
        <v>4997</v>
      </c>
      <c r="G329" t="s">
        <v>74</v>
      </c>
      <c r="H329" t="s">
        <v>74</v>
      </c>
      <c r="I329" t="s">
        <v>4998</v>
      </c>
      <c r="J329" t="s">
        <v>4999</v>
      </c>
      <c r="K329" t="s">
        <v>74</v>
      </c>
      <c r="L329" t="s">
        <v>74</v>
      </c>
      <c r="M329" t="s">
        <v>79</v>
      </c>
      <c r="N329" t="s">
        <v>126</v>
      </c>
      <c r="O329" t="s">
        <v>74</v>
      </c>
      <c r="P329" t="s">
        <v>74</v>
      </c>
      <c r="Q329" t="s">
        <v>74</v>
      </c>
      <c r="R329" t="s">
        <v>74</v>
      </c>
      <c r="S329" t="s">
        <v>74</v>
      </c>
      <c r="T329" t="s">
        <v>5000</v>
      </c>
      <c r="U329" t="s">
        <v>5001</v>
      </c>
      <c r="V329" t="s">
        <v>5002</v>
      </c>
      <c r="W329" t="s">
        <v>5003</v>
      </c>
      <c r="X329" t="s">
        <v>5004</v>
      </c>
      <c r="Y329" t="s">
        <v>5005</v>
      </c>
      <c r="Z329" t="s">
        <v>5006</v>
      </c>
      <c r="AA329" t="s">
        <v>5007</v>
      </c>
      <c r="AB329" t="s">
        <v>5008</v>
      </c>
      <c r="AC329" t="s">
        <v>74</v>
      </c>
      <c r="AD329" t="s">
        <v>74</v>
      </c>
      <c r="AE329" t="s">
        <v>74</v>
      </c>
      <c r="AF329" t="s">
        <v>74</v>
      </c>
      <c r="AG329">
        <v>62</v>
      </c>
      <c r="AH329">
        <v>28</v>
      </c>
      <c r="AI329">
        <v>33</v>
      </c>
      <c r="AJ329">
        <v>1</v>
      </c>
      <c r="AK329">
        <v>6</v>
      </c>
      <c r="AL329" t="s">
        <v>1745</v>
      </c>
      <c r="AM329" t="s">
        <v>4736</v>
      </c>
      <c r="AN329" t="s">
        <v>5009</v>
      </c>
      <c r="AO329" t="s">
        <v>5010</v>
      </c>
      <c r="AP329" t="s">
        <v>74</v>
      </c>
      <c r="AQ329" t="s">
        <v>74</v>
      </c>
      <c r="AR329" t="s">
        <v>5011</v>
      </c>
      <c r="AS329" t="s">
        <v>5012</v>
      </c>
      <c r="AT329" t="s">
        <v>4254</v>
      </c>
      <c r="AU329">
        <v>2004</v>
      </c>
      <c r="AV329">
        <v>13</v>
      </c>
      <c r="AW329">
        <v>10</v>
      </c>
      <c r="AX329" t="s">
        <v>74</v>
      </c>
      <c r="AY329" t="s">
        <v>74</v>
      </c>
      <c r="AZ329" t="s">
        <v>74</v>
      </c>
      <c r="BA329" t="s">
        <v>74</v>
      </c>
      <c r="BB329">
        <v>2766</v>
      </c>
      <c r="BC329">
        <v>2781</v>
      </c>
      <c r="BD329" t="s">
        <v>74</v>
      </c>
      <c r="BE329" t="s">
        <v>5013</v>
      </c>
      <c r="BF329" t="str">
        <f>HYPERLINK("http://dx.doi.org/10.1110/ps.04861504","http://dx.doi.org/10.1110/ps.04861504")</f>
        <v>http://dx.doi.org/10.1110/ps.04861504</v>
      </c>
      <c r="BG329" t="s">
        <v>74</v>
      </c>
      <c r="BH329" t="s">
        <v>74</v>
      </c>
      <c r="BI329">
        <v>16</v>
      </c>
      <c r="BJ329" t="s">
        <v>1214</v>
      </c>
      <c r="BK329" t="s">
        <v>139</v>
      </c>
      <c r="BL329" t="s">
        <v>1214</v>
      </c>
      <c r="BM329" t="s">
        <v>5014</v>
      </c>
      <c r="BN329">
        <v>15340169</v>
      </c>
      <c r="BO329" t="s">
        <v>329</v>
      </c>
      <c r="BP329" t="s">
        <v>74</v>
      </c>
      <c r="BQ329" t="s">
        <v>74</v>
      </c>
      <c r="BR329" t="s">
        <v>98</v>
      </c>
      <c r="BS329" t="s">
        <v>5015</v>
      </c>
      <c r="BT329" t="str">
        <f>HYPERLINK("https%3A%2F%2Fwww.webofscience.com%2Fwos%2Fwoscc%2Ffull-record%2FWOS:000224007700021","View Full Record in Web of Science")</f>
        <v>View Full Record in Web of Science</v>
      </c>
    </row>
    <row r="330" spans="1:72" x14ac:dyDescent="0.15">
      <c r="A330" t="s">
        <v>122</v>
      </c>
      <c r="B330" t="s">
        <v>5016</v>
      </c>
      <c r="C330" t="s">
        <v>74</v>
      </c>
      <c r="D330" t="s">
        <v>74</v>
      </c>
      <c r="E330" t="s">
        <v>74</v>
      </c>
      <c r="F330" t="s">
        <v>5016</v>
      </c>
      <c r="G330" t="s">
        <v>74</v>
      </c>
      <c r="H330" t="s">
        <v>74</v>
      </c>
      <c r="I330" t="s">
        <v>5017</v>
      </c>
      <c r="J330" t="s">
        <v>5018</v>
      </c>
      <c r="K330" t="s">
        <v>74</v>
      </c>
      <c r="L330" t="s">
        <v>74</v>
      </c>
      <c r="M330" t="s">
        <v>79</v>
      </c>
      <c r="N330" t="s">
        <v>126</v>
      </c>
      <c r="O330" t="s">
        <v>74</v>
      </c>
      <c r="P330" t="s">
        <v>74</v>
      </c>
      <c r="Q330" t="s">
        <v>74</v>
      </c>
      <c r="R330" t="s">
        <v>74</v>
      </c>
      <c r="S330" t="s">
        <v>74</v>
      </c>
      <c r="T330" t="s">
        <v>5019</v>
      </c>
      <c r="U330" t="s">
        <v>5020</v>
      </c>
      <c r="V330" t="s">
        <v>5021</v>
      </c>
      <c r="W330" t="s">
        <v>5022</v>
      </c>
      <c r="X330" t="s">
        <v>5023</v>
      </c>
      <c r="Y330" t="s">
        <v>5024</v>
      </c>
      <c r="Z330" t="s">
        <v>5025</v>
      </c>
      <c r="AA330" t="s">
        <v>5026</v>
      </c>
      <c r="AB330" t="s">
        <v>5027</v>
      </c>
      <c r="AC330" t="s">
        <v>74</v>
      </c>
      <c r="AD330" t="s">
        <v>74</v>
      </c>
      <c r="AE330" t="s">
        <v>74</v>
      </c>
      <c r="AF330" t="s">
        <v>74</v>
      </c>
      <c r="AG330">
        <v>47</v>
      </c>
      <c r="AH330">
        <v>17</v>
      </c>
      <c r="AI330">
        <v>17</v>
      </c>
      <c r="AJ330">
        <v>0</v>
      </c>
      <c r="AK330">
        <v>2</v>
      </c>
      <c r="AL330" t="s">
        <v>1418</v>
      </c>
      <c r="AM330" t="s">
        <v>1419</v>
      </c>
      <c r="AN330" t="s">
        <v>1420</v>
      </c>
      <c r="AO330" t="s">
        <v>5028</v>
      </c>
      <c r="AP330" t="s">
        <v>5029</v>
      </c>
      <c r="AQ330" t="s">
        <v>74</v>
      </c>
      <c r="AR330" t="s">
        <v>5030</v>
      </c>
      <c r="AS330" t="s">
        <v>5031</v>
      </c>
      <c r="AT330" t="s">
        <v>4254</v>
      </c>
      <c r="AU330">
        <v>2004</v>
      </c>
      <c r="AV330">
        <v>130</v>
      </c>
      <c r="AW330">
        <v>602</v>
      </c>
      <c r="AX330" t="s">
        <v>5032</v>
      </c>
      <c r="AY330" t="s">
        <v>74</v>
      </c>
      <c r="AZ330" t="s">
        <v>74</v>
      </c>
      <c r="BA330" t="s">
        <v>74</v>
      </c>
      <c r="BB330">
        <v>2423</v>
      </c>
      <c r="BC330">
        <v>2444</v>
      </c>
      <c r="BD330" t="s">
        <v>74</v>
      </c>
      <c r="BE330" t="s">
        <v>5033</v>
      </c>
      <c r="BF330" t="str">
        <f>HYPERLINK("http://dx.doi.org/10.1256/qj.03.191","http://dx.doi.org/10.1256/qj.03.191")</f>
        <v>http://dx.doi.org/10.1256/qj.03.191</v>
      </c>
      <c r="BG330" t="s">
        <v>74</v>
      </c>
      <c r="BH330" t="s">
        <v>74</v>
      </c>
      <c r="BI330">
        <v>22</v>
      </c>
      <c r="BJ330" t="s">
        <v>291</v>
      </c>
      <c r="BK330" t="s">
        <v>139</v>
      </c>
      <c r="BL330" t="s">
        <v>291</v>
      </c>
      <c r="BM330" t="s">
        <v>5034</v>
      </c>
      <c r="BN330" t="s">
        <v>74</v>
      </c>
      <c r="BO330" t="s">
        <v>74</v>
      </c>
      <c r="BP330" t="s">
        <v>74</v>
      </c>
      <c r="BQ330" t="s">
        <v>74</v>
      </c>
      <c r="BR330" t="s">
        <v>98</v>
      </c>
      <c r="BS330" t="s">
        <v>5035</v>
      </c>
      <c r="BT330" t="str">
        <f>HYPERLINK("https%3A%2F%2Fwww.webofscience.com%2Fwos%2Fwoscc%2Ffull-record%2FWOS:000224938100006","View Full Record in Web of Science")</f>
        <v>View Full Record in Web of Science</v>
      </c>
    </row>
    <row r="331" spans="1:72" x14ac:dyDescent="0.15">
      <c r="A331" t="s">
        <v>122</v>
      </c>
      <c r="B331" t="s">
        <v>5036</v>
      </c>
      <c r="C331" t="s">
        <v>74</v>
      </c>
      <c r="D331" t="s">
        <v>74</v>
      </c>
      <c r="E331" t="s">
        <v>74</v>
      </c>
      <c r="F331" t="s">
        <v>5036</v>
      </c>
      <c r="G331" t="s">
        <v>74</v>
      </c>
      <c r="H331" t="s">
        <v>74</v>
      </c>
      <c r="I331" t="s">
        <v>5037</v>
      </c>
      <c r="J331" t="s">
        <v>5038</v>
      </c>
      <c r="K331" t="s">
        <v>74</v>
      </c>
      <c r="L331" t="s">
        <v>74</v>
      </c>
      <c r="M331" t="s">
        <v>79</v>
      </c>
      <c r="N331" t="s">
        <v>5039</v>
      </c>
      <c r="O331" t="s">
        <v>74</v>
      </c>
      <c r="P331" t="s">
        <v>74</v>
      </c>
      <c r="Q331" t="s">
        <v>74</v>
      </c>
      <c r="R331" t="s">
        <v>74</v>
      </c>
      <c r="S331" t="s">
        <v>74</v>
      </c>
      <c r="T331" t="s">
        <v>74</v>
      </c>
      <c r="U331" t="s">
        <v>5040</v>
      </c>
      <c r="V331" t="s">
        <v>74</v>
      </c>
      <c r="W331" t="s">
        <v>5041</v>
      </c>
      <c r="X331" t="s">
        <v>5042</v>
      </c>
      <c r="Y331" t="s">
        <v>5043</v>
      </c>
      <c r="Z331" t="s">
        <v>5044</v>
      </c>
      <c r="AA331" t="s">
        <v>5045</v>
      </c>
      <c r="AB331" t="s">
        <v>5046</v>
      </c>
      <c r="AC331" t="s">
        <v>74</v>
      </c>
      <c r="AD331" t="s">
        <v>74</v>
      </c>
      <c r="AE331" t="s">
        <v>74</v>
      </c>
      <c r="AF331" t="s">
        <v>74</v>
      </c>
      <c r="AG331">
        <v>14</v>
      </c>
      <c r="AH331">
        <v>3</v>
      </c>
      <c r="AI331">
        <v>4</v>
      </c>
      <c r="AJ331">
        <v>0</v>
      </c>
      <c r="AK331">
        <v>2</v>
      </c>
      <c r="AL331" t="s">
        <v>1273</v>
      </c>
      <c r="AM331" t="s">
        <v>197</v>
      </c>
      <c r="AN331" t="s">
        <v>1274</v>
      </c>
      <c r="AO331" t="s">
        <v>5047</v>
      </c>
      <c r="AP331" t="s">
        <v>74</v>
      </c>
      <c r="AQ331" t="s">
        <v>74</v>
      </c>
      <c r="AR331" t="s">
        <v>5048</v>
      </c>
      <c r="AS331" t="s">
        <v>5049</v>
      </c>
      <c r="AT331" t="s">
        <v>4254</v>
      </c>
      <c r="AU331">
        <v>2004</v>
      </c>
      <c r="AV331">
        <v>23</v>
      </c>
      <c r="AW331" t="s">
        <v>5050</v>
      </c>
      <c r="AX331" t="s">
        <v>74</v>
      </c>
      <c r="AY331" t="s">
        <v>74</v>
      </c>
      <c r="AZ331" t="s">
        <v>74</v>
      </c>
      <c r="BA331" t="s">
        <v>74</v>
      </c>
      <c r="BB331">
        <v>2053</v>
      </c>
      <c r="BC331">
        <v>2054</v>
      </c>
      <c r="BD331" t="s">
        <v>74</v>
      </c>
      <c r="BE331" t="s">
        <v>5051</v>
      </c>
      <c r="BF331" t="str">
        <f>HYPERLINK("http://dx.doi.org/10.1016/j.quascirev.2004.05.002","http://dx.doi.org/10.1016/j.quascirev.2004.05.002")</f>
        <v>http://dx.doi.org/10.1016/j.quascirev.2004.05.002</v>
      </c>
      <c r="BG331" t="s">
        <v>74</v>
      </c>
      <c r="BH331" t="s">
        <v>74</v>
      </c>
      <c r="BI331">
        <v>2</v>
      </c>
      <c r="BJ331" t="s">
        <v>3767</v>
      </c>
      <c r="BK331" t="s">
        <v>139</v>
      </c>
      <c r="BL331" t="s">
        <v>3768</v>
      </c>
      <c r="BM331" t="s">
        <v>5052</v>
      </c>
      <c r="BN331" t="s">
        <v>74</v>
      </c>
      <c r="BO331" t="s">
        <v>74</v>
      </c>
      <c r="BP331" t="s">
        <v>74</v>
      </c>
      <c r="BQ331" t="s">
        <v>74</v>
      </c>
      <c r="BR331" t="s">
        <v>98</v>
      </c>
      <c r="BS331" t="s">
        <v>5053</v>
      </c>
      <c r="BT331" t="str">
        <f>HYPERLINK("https%3A%2F%2Fwww.webofscience.com%2Fwos%2Fwoscc%2Ffull-record%2FWOS:000223906400014","View Full Record in Web of Science")</f>
        <v>View Full Record in Web of Science</v>
      </c>
    </row>
    <row r="332" spans="1:72" x14ac:dyDescent="0.15">
      <c r="A332" t="s">
        <v>122</v>
      </c>
      <c r="B332" t="s">
        <v>5054</v>
      </c>
      <c r="C332" t="s">
        <v>74</v>
      </c>
      <c r="D332" t="s">
        <v>74</v>
      </c>
      <c r="E332" t="s">
        <v>74</v>
      </c>
      <c r="F332" t="s">
        <v>5054</v>
      </c>
      <c r="G332" t="s">
        <v>74</v>
      </c>
      <c r="H332" t="s">
        <v>74</v>
      </c>
      <c r="I332" t="s">
        <v>5055</v>
      </c>
      <c r="J332" t="s">
        <v>5038</v>
      </c>
      <c r="K332" t="s">
        <v>74</v>
      </c>
      <c r="L332" t="s">
        <v>74</v>
      </c>
      <c r="M332" t="s">
        <v>79</v>
      </c>
      <c r="N332" t="s">
        <v>5039</v>
      </c>
      <c r="O332" t="s">
        <v>74</v>
      </c>
      <c r="P332" t="s">
        <v>74</v>
      </c>
      <c r="Q332" t="s">
        <v>74</v>
      </c>
      <c r="R332" t="s">
        <v>74</v>
      </c>
      <c r="S332" t="s">
        <v>74</v>
      </c>
      <c r="T332" t="s">
        <v>74</v>
      </c>
      <c r="U332" t="s">
        <v>5056</v>
      </c>
      <c r="V332" t="s">
        <v>74</v>
      </c>
      <c r="W332" t="s">
        <v>5057</v>
      </c>
      <c r="X332" t="s">
        <v>5058</v>
      </c>
      <c r="Y332" t="s">
        <v>5059</v>
      </c>
      <c r="Z332" t="s">
        <v>5060</v>
      </c>
      <c r="AA332" t="s">
        <v>74</v>
      </c>
      <c r="AB332" t="s">
        <v>74</v>
      </c>
      <c r="AC332" t="s">
        <v>74</v>
      </c>
      <c r="AD332" t="s">
        <v>74</v>
      </c>
      <c r="AE332" t="s">
        <v>74</v>
      </c>
      <c r="AF332" t="s">
        <v>74</v>
      </c>
      <c r="AG332">
        <v>6</v>
      </c>
      <c r="AH332">
        <v>1</v>
      </c>
      <c r="AI332">
        <v>1</v>
      </c>
      <c r="AJ332">
        <v>0</v>
      </c>
      <c r="AK332">
        <v>4</v>
      </c>
      <c r="AL332" t="s">
        <v>1273</v>
      </c>
      <c r="AM332" t="s">
        <v>197</v>
      </c>
      <c r="AN332" t="s">
        <v>1274</v>
      </c>
      <c r="AO332" t="s">
        <v>5047</v>
      </c>
      <c r="AP332" t="s">
        <v>74</v>
      </c>
      <c r="AQ332" t="s">
        <v>74</v>
      </c>
      <c r="AR332" t="s">
        <v>5048</v>
      </c>
      <c r="AS332" t="s">
        <v>5049</v>
      </c>
      <c r="AT332" t="s">
        <v>4254</v>
      </c>
      <c r="AU332">
        <v>2004</v>
      </c>
      <c r="AV332">
        <v>23</v>
      </c>
      <c r="AW332" t="s">
        <v>5050</v>
      </c>
      <c r="AX332" t="s">
        <v>74</v>
      </c>
      <c r="AY332" t="s">
        <v>74</v>
      </c>
      <c r="AZ332" t="s">
        <v>74</v>
      </c>
      <c r="BA332" t="s">
        <v>74</v>
      </c>
      <c r="BB332">
        <v>2054</v>
      </c>
      <c r="BC332">
        <v>2055</v>
      </c>
      <c r="BD332" t="s">
        <v>74</v>
      </c>
      <c r="BE332" t="s">
        <v>5061</v>
      </c>
      <c r="BF332" t="str">
        <f>HYPERLINK("http://dx.doi.org/10.1016/j.quascirev.2004.05.003","http://dx.doi.org/10.1016/j.quascirev.2004.05.003")</f>
        <v>http://dx.doi.org/10.1016/j.quascirev.2004.05.003</v>
      </c>
      <c r="BG332" t="s">
        <v>74</v>
      </c>
      <c r="BH332" t="s">
        <v>74</v>
      </c>
      <c r="BI332">
        <v>2</v>
      </c>
      <c r="BJ332" t="s">
        <v>3767</v>
      </c>
      <c r="BK332" t="s">
        <v>139</v>
      </c>
      <c r="BL332" t="s">
        <v>3768</v>
      </c>
      <c r="BM332" t="s">
        <v>5052</v>
      </c>
      <c r="BN332" t="s">
        <v>74</v>
      </c>
      <c r="BO332" t="s">
        <v>74</v>
      </c>
      <c r="BP332" t="s">
        <v>74</v>
      </c>
      <c r="BQ332" t="s">
        <v>74</v>
      </c>
      <c r="BR332" t="s">
        <v>98</v>
      </c>
      <c r="BS332" t="s">
        <v>5062</v>
      </c>
      <c r="BT332" t="str">
        <f>HYPERLINK("https%3A%2F%2Fwww.webofscience.com%2Fwos%2Fwoscc%2Ffull-record%2FWOS:000223906400015","View Full Record in Web of Science")</f>
        <v>View Full Record in Web of Science</v>
      </c>
    </row>
    <row r="333" spans="1:72" x14ac:dyDescent="0.15">
      <c r="A333" t="s">
        <v>122</v>
      </c>
      <c r="B333" t="s">
        <v>5063</v>
      </c>
      <c r="C333" t="s">
        <v>74</v>
      </c>
      <c r="D333" t="s">
        <v>74</v>
      </c>
      <c r="E333" t="s">
        <v>74</v>
      </c>
      <c r="F333" t="s">
        <v>5063</v>
      </c>
      <c r="G333" t="s">
        <v>74</v>
      </c>
      <c r="H333" t="s">
        <v>74</v>
      </c>
      <c r="I333" t="s">
        <v>5064</v>
      </c>
      <c r="J333" t="s">
        <v>5065</v>
      </c>
      <c r="K333" t="s">
        <v>74</v>
      </c>
      <c r="L333" t="s">
        <v>74</v>
      </c>
      <c r="M333" t="s">
        <v>79</v>
      </c>
      <c r="N333" t="s">
        <v>581</v>
      </c>
      <c r="O333" t="s">
        <v>74</v>
      </c>
      <c r="P333" t="s">
        <v>74</v>
      </c>
      <c r="Q333" t="s">
        <v>74</v>
      </c>
      <c r="R333" t="s">
        <v>74</v>
      </c>
      <c r="S333" t="s">
        <v>74</v>
      </c>
      <c r="T333" t="s">
        <v>74</v>
      </c>
      <c r="U333" t="s">
        <v>5066</v>
      </c>
      <c r="V333" t="s">
        <v>5067</v>
      </c>
      <c r="W333" t="s">
        <v>87</v>
      </c>
      <c r="X333" t="s">
        <v>88</v>
      </c>
      <c r="Y333" t="s">
        <v>5068</v>
      </c>
      <c r="Z333" t="s">
        <v>74</v>
      </c>
      <c r="AA333" t="s">
        <v>74</v>
      </c>
      <c r="AB333" t="s">
        <v>5069</v>
      </c>
      <c r="AC333" t="s">
        <v>74</v>
      </c>
      <c r="AD333" t="s">
        <v>74</v>
      </c>
      <c r="AE333" t="s">
        <v>74</v>
      </c>
      <c r="AF333" t="s">
        <v>74</v>
      </c>
      <c r="AG333">
        <v>173</v>
      </c>
      <c r="AH333">
        <v>115</v>
      </c>
      <c r="AI333">
        <v>131</v>
      </c>
      <c r="AJ333">
        <v>1</v>
      </c>
      <c r="AK333">
        <v>27</v>
      </c>
      <c r="AL333" t="s">
        <v>1166</v>
      </c>
      <c r="AM333" t="s">
        <v>1167</v>
      </c>
      <c r="AN333" t="s">
        <v>1168</v>
      </c>
      <c r="AO333" t="s">
        <v>5070</v>
      </c>
      <c r="AP333" t="s">
        <v>5071</v>
      </c>
      <c r="AQ333" t="s">
        <v>74</v>
      </c>
      <c r="AR333" t="s">
        <v>5072</v>
      </c>
      <c r="AS333" t="s">
        <v>5073</v>
      </c>
      <c r="AT333" t="s">
        <v>4254</v>
      </c>
      <c r="AU333">
        <v>2004</v>
      </c>
      <c r="AV333">
        <v>67</v>
      </c>
      <c r="AW333">
        <v>10</v>
      </c>
      <c r="AX333" t="s">
        <v>74</v>
      </c>
      <c r="AY333" t="s">
        <v>74</v>
      </c>
      <c r="AZ333" t="s">
        <v>74</v>
      </c>
      <c r="BA333" t="s">
        <v>74</v>
      </c>
      <c r="BB333">
        <v>1821</v>
      </c>
      <c r="BC333">
        <v>1861</v>
      </c>
      <c r="BD333" t="s">
        <v>5074</v>
      </c>
      <c r="BE333" t="s">
        <v>5075</v>
      </c>
      <c r="BF333" t="str">
        <f>HYPERLINK("http://dx.doi.org/10.1088/0034-4885/67/10/R03","http://dx.doi.org/10.1088/0034-4885/67/10/R03")</f>
        <v>http://dx.doi.org/10.1088/0034-4885/67/10/R03</v>
      </c>
      <c r="BG333" t="s">
        <v>74</v>
      </c>
      <c r="BH333" t="s">
        <v>74</v>
      </c>
      <c r="BI333">
        <v>41</v>
      </c>
      <c r="BJ333" t="s">
        <v>1470</v>
      </c>
      <c r="BK333" t="s">
        <v>139</v>
      </c>
      <c r="BL333" t="s">
        <v>1471</v>
      </c>
      <c r="BM333" t="s">
        <v>5076</v>
      </c>
      <c r="BN333" t="s">
        <v>74</v>
      </c>
      <c r="BO333" t="s">
        <v>74</v>
      </c>
      <c r="BP333" t="s">
        <v>74</v>
      </c>
      <c r="BQ333" t="s">
        <v>74</v>
      </c>
      <c r="BR333" t="s">
        <v>98</v>
      </c>
      <c r="BS333" t="s">
        <v>5077</v>
      </c>
      <c r="BT333" t="str">
        <f>HYPERLINK("https%3A%2F%2Fwww.webofscience.com%2Fwos%2Fwoscc%2Ffull-record%2FWOS:000224904500003","View Full Record in Web of Science")</f>
        <v>View Full Record in Web of Science</v>
      </c>
    </row>
    <row r="334" spans="1:72" x14ac:dyDescent="0.15">
      <c r="A334" t="s">
        <v>122</v>
      </c>
      <c r="B334" t="s">
        <v>5078</v>
      </c>
      <c r="C334" t="s">
        <v>74</v>
      </c>
      <c r="D334" t="s">
        <v>74</v>
      </c>
      <c r="E334" t="s">
        <v>74</v>
      </c>
      <c r="F334" t="s">
        <v>5078</v>
      </c>
      <c r="G334" t="s">
        <v>74</v>
      </c>
      <c r="H334" t="s">
        <v>74</v>
      </c>
      <c r="I334" t="s">
        <v>5079</v>
      </c>
      <c r="J334" t="s">
        <v>5080</v>
      </c>
      <c r="K334" t="s">
        <v>74</v>
      </c>
      <c r="L334" t="s">
        <v>74</v>
      </c>
      <c r="M334" t="s">
        <v>79</v>
      </c>
      <c r="N334" t="s">
        <v>126</v>
      </c>
      <c r="O334" t="s">
        <v>74</v>
      </c>
      <c r="P334" t="s">
        <v>74</v>
      </c>
      <c r="Q334" t="s">
        <v>74</v>
      </c>
      <c r="R334" t="s">
        <v>74</v>
      </c>
      <c r="S334" t="s">
        <v>74</v>
      </c>
      <c r="T334" t="s">
        <v>5081</v>
      </c>
      <c r="U334" t="s">
        <v>5082</v>
      </c>
      <c r="V334" t="s">
        <v>5083</v>
      </c>
      <c r="W334" t="s">
        <v>5084</v>
      </c>
      <c r="X334" t="s">
        <v>5085</v>
      </c>
      <c r="Y334" t="s">
        <v>5086</v>
      </c>
      <c r="Z334" t="s">
        <v>5087</v>
      </c>
      <c r="AA334" t="s">
        <v>5088</v>
      </c>
      <c r="AB334" t="s">
        <v>74</v>
      </c>
      <c r="AC334" t="s">
        <v>74</v>
      </c>
      <c r="AD334" t="s">
        <v>74</v>
      </c>
      <c r="AE334" t="s">
        <v>74</v>
      </c>
      <c r="AF334" t="s">
        <v>74</v>
      </c>
      <c r="AG334">
        <v>27</v>
      </c>
      <c r="AH334">
        <v>9</v>
      </c>
      <c r="AI334">
        <v>14</v>
      </c>
      <c r="AJ334">
        <v>0</v>
      </c>
      <c r="AK334">
        <v>1</v>
      </c>
      <c r="AL334" t="s">
        <v>5089</v>
      </c>
      <c r="AM334" t="s">
        <v>5090</v>
      </c>
      <c r="AN334" t="s">
        <v>5091</v>
      </c>
      <c r="AO334" t="s">
        <v>5092</v>
      </c>
      <c r="AP334" t="s">
        <v>74</v>
      </c>
      <c r="AQ334" t="s">
        <v>74</v>
      </c>
      <c r="AR334" t="s">
        <v>5080</v>
      </c>
      <c r="AS334" t="s">
        <v>5093</v>
      </c>
      <c r="AT334" t="s">
        <v>5094</v>
      </c>
      <c r="AU334">
        <v>2004</v>
      </c>
      <c r="AV334">
        <v>89</v>
      </c>
      <c r="AW334">
        <v>5</v>
      </c>
      <c r="AX334" t="s">
        <v>74</v>
      </c>
      <c r="AY334" t="s">
        <v>74</v>
      </c>
      <c r="AZ334" t="s">
        <v>74</v>
      </c>
      <c r="BA334" t="s">
        <v>74</v>
      </c>
      <c r="BB334">
        <v>326</v>
      </c>
      <c r="BC334">
        <v>337</v>
      </c>
      <c r="BD334" t="s">
        <v>74</v>
      </c>
      <c r="BE334" t="s">
        <v>5095</v>
      </c>
      <c r="BF334" t="str">
        <f>HYPERLINK("http://dx.doi.org/10.1080/00364820410002596","http://dx.doi.org/10.1080/00364820410002596")</f>
        <v>http://dx.doi.org/10.1080/00364820410002596</v>
      </c>
      <c r="BG334" t="s">
        <v>74</v>
      </c>
      <c r="BH334" t="s">
        <v>74</v>
      </c>
      <c r="BI334">
        <v>12</v>
      </c>
      <c r="BJ334" t="s">
        <v>3942</v>
      </c>
      <c r="BK334" t="s">
        <v>139</v>
      </c>
      <c r="BL334" t="s">
        <v>1797</v>
      </c>
      <c r="BM334" t="s">
        <v>5096</v>
      </c>
      <c r="BN334" t="s">
        <v>74</v>
      </c>
      <c r="BO334" t="s">
        <v>74</v>
      </c>
      <c r="BP334" t="s">
        <v>74</v>
      </c>
      <c r="BQ334" t="s">
        <v>74</v>
      </c>
      <c r="BR334" t="s">
        <v>98</v>
      </c>
      <c r="BS334" t="s">
        <v>5097</v>
      </c>
      <c r="BT334" t="str">
        <f>HYPERLINK("https%3A%2F%2Fwww.webofscience.com%2Fwos%2Fwoscc%2Ffull-record%2FWOS:000224861800004","View Full Record in Web of Science")</f>
        <v>View Full Record in Web of Science</v>
      </c>
    </row>
    <row r="335" spans="1:72" x14ac:dyDescent="0.15">
      <c r="A335" t="s">
        <v>122</v>
      </c>
      <c r="B335" t="s">
        <v>5098</v>
      </c>
      <c r="C335" t="s">
        <v>74</v>
      </c>
      <c r="D335" t="s">
        <v>74</v>
      </c>
      <c r="E335" t="s">
        <v>74</v>
      </c>
      <c r="F335" t="s">
        <v>5098</v>
      </c>
      <c r="G335" t="s">
        <v>74</v>
      </c>
      <c r="H335" t="s">
        <v>74</v>
      </c>
      <c r="I335" t="s">
        <v>5099</v>
      </c>
      <c r="J335" t="s">
        <v>5100</v>
      </c>
      <c r="K335" t="s">
        <v>74</v>
      </c>
      <c r="L335" t="s">
        <v>74</v>
      </c>
      <c r="M335" t="s">
        <v>79</v>
      </c>
      <c r="N335" t="s">
        <v>1129</v>
      </c>
      <c r="O335" t="s">
        <v>5101</v>
      </c>
      <c r="P335" t="s">
        <v>5102</v>
      </c>
      <c r="Q335" t="s">
        <v>5103</v>
      </c>
      <c r="R335" t="s">
        <v>74</v>
      </c>
      <c r="S335" t="s">
        <v>74</v>
      </c>
      <c r="T335" t="s">
        <v>74</v>
      </c>
      <c r="U335" t="s">
        <v>5104</v>
      </c>
      <c r="V335" t="s">
        <v>5105</v>
      </c>
      <c r="W335" t="s">
        <v>5106</v>
      </c>
      <c r="X335" t="s">
        <v>5107</v>
      </c>
      <c r="Y335" t="s">
        <v>5108</v>
      </c>
      <c r="Z335" t="s">
        <v>5109</v>
      </c>
      <c r="AA335" t="s">
        <v>5110</v>
      </c>
      <c r="AB335" t="s">
        <v>5111</v>
      </c>
      <c r="AC335" t="s">
        <v>74</v>
      </c>
      <c r="AD335" t="s">
        <v>74</v>
      </c>
      <c r="AE335" t="s">
        <v>74</v>
      </c>
      <c r="AF335" t="s">
        <v>74</v>
      </c>
      <c r="AG335">
        <v>16</v>
      </c>
      <c r="AH335">
        <v>27</v>
      </c>
      <c r="AI335">
        <v>29</v>
      </c>
      <c r="AJ335">
        <v>0</v>
      </c>
      <c r="AK335">
        <v>8</v>
      </c>
      <c r="AL335" t="s">
        <v>1509</v>
      </c>
      <c r="AM335" t="s">
        <v>1510</v>
      </c>
      <c r="AN335" t="s">
        <v>1511</v>
      </c>
      <c r="AO335" t="s">
        <v>5112</v>
      </c>
      <c r="AP335" t="s">
        <v>5113</v>
      </c>
      <c r="AQ335" t="s">
        <v>74</v>
      </c>
      <c r="AR335" t="s">
        <v>5114</v>
      </c>
      <c r="AS335" t="s">
        <v>5115</v>
      </c>
      <c r="AT335" t="s">
        <v>4254</v>
      </c>
      <c r="AU335">
        <v>2004</v>
      </c>
      <c r="AV335">
        <v>224</v>
      </c>
      <c r="AW335">
        <v>1</v>
      </c>
      <c r="AX335" t="s">
        <v>74</v>
      </c>
      <c r="AY335" t="s">
        <v>74</v>
      </c>
      <c r="AZ335" t="s">
        <v>74</v>
      </c>
      <c r="BA335" t="s">
        <v>74</v>
      </c>
      <c r="BB335">
        <v>445</v>
      </c>
      <c r="BC335">
        <v>454</v>
      </c>
      <c r="BD335" t="s">
        <v>74</v>
      </c>
      <c r="BE335" t="s">
        <v>5116</v>
      </c>
      <c r="BF335" t="str">
        <f>HYPERLINK("http://dx.doi.org/10.1007/s11207-005-4974-x","http://dx.doi.org/10.1007/s11207-005-4974-x")</f>
        <v>http://dx.doi.org/10.1007/s11207-005-4974-x</v>
      </c>
      <c r="BG335" t="s">
        <v>74</v>
      </c>
      <c r="BH335" t="s">
        <v>74</v>
      </c>
      <c r="BI335">
        <v>10</v>
      </c>
      <c r="BJ335" t="s">
        <v>491</v>
      </c>
      <c r="BK335" t="s">
        <v>1257</v>
      </c>
      <c r="BL335" t="s">
        <v>491</v>
      </c>
      <c r="BM335" t="s">
        <v>5117</v>
      </c>
      <c r="BN335" t="s">
        <v>74</v>
      </c>
      <c r="BO335" t="s">
        <v>74</v>
      </c>
      <c r="BP335" t="s">
        <v>74</v>
      </c>
      <c r="BQ335" t="s">
        <v>74</v>
      </c>
      <c r="BR335" t="s">
        <v>98</v>
      </c>
      <c r="BS335" t="s">
        <v>5118</v>
      </c>
      <c r="BT335" t="str">
        <f>HYPERLINK("https%3A%2F%2Fwww.webofscience.com%2Fwos%2Fwoscc%2Ffull-record%2FWOS:000228849200044","View Full Record in Web of Science")</f>
        <v>View Full Record in Web of Science</v>
      </c>
    </row>
    <row r="336" spans="1:72" x14ac:dyDescent="0.15">
      <c r="A336" t="s">
        <v>122</v>
      </c>
      <c r="B336" t="s">
        <v>5119</v>
      </c>
      <c r="C336" t="s">
        <v>74</v>
      </c>
      <c r="D336" t="s">
        <v>74</v>
      </c>
      <c r="E336" t="s">
        <v>74</v>
      </c>
      <c r="F336" t="s">
        <v>5119</v>
      </c>
      <c r="G336" t="s">
        <v>74</v>
      </c>
      <c r="H336" t="s">
        <v>74</v>
      </c>
      <c r="I336" t="s">
        <v>5120</v>
      </c>
      <c r="J336" t="s">
        <v>5121</v>
      </c>
      <c r="K336" t="s">
        <v>74</v>
      </c>
      <c r="L336" t="s">
        <v>74</v>
      </c>
      <c r="M336" t="s">
        <v>79</v>
      </c>
      <c r="N336" t="s">
        <v>126</v>
      </c>
      <c r="O336" t="s">
        <v>74</v>
      </c>
      <c r="P336" t="s">
        <v>74</v>
      </c>
      <c r="Q336" t="s">
        <v>74</v>
      </c>
      <c r="R336" t="s">
        <v>74</v>
      </c>
      <c r="S336" t="s">
        <v>74</v>
      </c>
      <c r="T336" t="s">
        <v>74</v>
      </c>
      <c r="U336" t="s">
        <v>5122</v>
      </c>
      <c r="V336" t="s">
        <v>5123</v>
      </c>
      <c r="W336" t="s">
        <v>5124</v>
      </c>
      <c r="X336" t="s">
        <v>5125</v>
      </c>
      <c r="Y336" t="s">
        <v>5126</v>
      </c>
      <c r="Z336" t="s">
        <v>5127</v>
      </c>
      <c r="AA336" t="s">
        <v>5128</v>
      </c>
      <c r="AB336" t="s">
        <v>5129</v>
      </c>
      <c r="AC336" t="s">
        <v>74</v>
      </c>
      <c r="AD336" t="s">
        <v>74</v>
      </c>
      <c r="AE336" t="s">
        <v>74</v>
      </c>
      <c r="AF336" t="s">
        <v>74</v>
      </c>
      <c r="AG336">
        <v>46</v>
      </c>
      <c r="AH336">
        <v>13</v>
      </c>
      <c r="AI336">
        <v>13</v>
      </c>
      <c r="AJ336">
        <v>0</v>
      </c>
      <c r="AK336">
        <v>3</v>
      </c>
      <c r="AL336" t="s">
        <v>1644</v>
      </c>
      <c r="AM336" t="s">
        <v>1645</v>
      </c>
      <c r="AN336" t="s">
        <v>1646</v>
      </c>
      <c r="AO336" t="s">
        <v>5130</v>
      </c>
      <c r="AP336" t="s">
        <v>74</v>
      </c>
      <c r="AQ336" t="s">
        <v>74</v>
      </c>
      <c r="AR336" t="s">
        <v>5131</v>
      </c>
      <c r="AS336" t="s">
        <v>5132</v>
      </c>
      <c r="AT336" t="s">
        <v>4254</v>
      </c>
      <c r="AU336">
        <v>2004</v>
      </c>
      <c r="AV336">
        <v>56</v>
      </c>
      <c r="AW336">
        <v>5</v>
      </c>
      <c r="AX336" t="s">
        <v>74</v>
      </c>
      <c r="AY336" t="s">
        <v>74</v>
      </c>
      <c r="AZ336" t="s">
        <v>74</v>
      </c>
      <c r="BA336" t="s">
        <v>74</v>
      </c>
      <c r="BB336">
        <v>501</v>
      </c>
      <c r="BC336">
        <v>513</v>
      </c>
      <c r="BD336" t="s">
        <v>74</v>
      </c>
      <c r="BE336" t="s">
        <v>5133</v>
      </c>
      <c r="BF336" t="str">
        <f>HYPERLINK("http://dx.doi.org/10.1111/j.1600-0870.2004.00081.x","http://dx.doi.org/10.1111/j.1600-0870.2004.00081.x")</f>
        <v>http://dx.doi.org/10.1111/j.1600-0870.2004.00081.x</v>
      </c>
      <c r="BG336" t="s">
        <v>74</v>
      </c>
      <c r="BH336" t="s">
        <v>74</v>
      </c>
      <c r="BI336">
        <v>13</v>
      </c>
      <c r="BJ336" t="s">
        <v>3323</v>
      </c>
      <c r="BK336" t="s">
        <v>139</v>
      </c>
      <c r="BL336" t="s">
        <v>3323</v>
      </c>
      <c r="BM336" t="s">
        <v>5134</v>
      </c>
      <c r="BN336" t="s">
        <v>74</v>
      </c>
      <c r="BO336" t="s">
        <v>5135</v>
      </c>
      <c r="BP336" t="s">
        <v>74</v>
      </c>
      <c r="BQ336" t="s">
        <v>74</v>
      </c>
      <c r="BR336" t="s">
        <v>98</v>
      </c>
      <c r="BS336" t="s">
        <v>5136</v>
      </c>
      <c r="BT336" t="str">
        <f>HYPERLINK("https%3A%2F%2Fwww.webofscience.com%2Fwos%2Fwoscc%2Ffull-record%2FWOS:000224961700007","View Full Record in Web of Science")</f>
        <v>View Full Record in Web of Science</v>
      </c>
    </row>
    <row r="337" spans="1:72" x14ac:dyDescent="0.15">
      <c r="A337" t="s">
        <v>122</v>
      </c>
      <c r="B337" t="s">
        <v>5137</v>
      </c>
      <c r="C337" t="s">
        <v>74</v>
      </c>
      <c r="D337" t="s">
        <v>74</v>
      </c>
      <c r="E337" t="s">
        <v>74</v>
      </c>
      <c r="F337" t="s">
        <v>5137</v>
      </c>
      <c r="G337" t="s">
        <v>74</v>
      </c>
      <c r="H337" t="s">
        <v>74</v>
      </c>
      <c r="I337" t="s">
        <v>5138</v>
      </c>
      <c r="J337" t="s">
        <v>5139</v>
      </c>
      <c r="K337" t="s">
        <v>74</v>
      </c>
      <c r="L337" t="s">
        <v>74</v>
      </c>
      <c r="M337" t="s">
        <v>166</v>
      </c>
      <c r="N337" t="s">
        <v>126</v>
      </c>
      <c r="O337" t="s">
        <v>74</v>
      </c>
      <c r="P337" t="s">
        <v>74</v>
      </c>
      <c r="Q337" t="s">
        <v>74</v>
      </c>
      <c r="R337" t="s">
        <v>74</v>
      </c>
      <c r="S337" t="s">
        <v>74</v>
      </c>
      <c r="T337" t="s">
        <v>74</v>
      </c>
      <c r="U337" t="s">
        <v>74</v>
      </c>
      <c r="V337" t="s">
        <v>5140</v>
      </c>
      <c r="W337" t="s">
        <v>5141</v>
      </c>
      <c r="X337" t="s">
        <v>5142</v>
      </c>
      <c r="Y337" t="s">
        <v>5143</v>
      </c>
      <c r="Z337" t="s">
        <v>74</v>
      </c>
      <c r="AA337" t="s">
        <v>74</v>
      </c>
      <c r="AB337" t="s">
        <v>74</v>
      </c>
      <c r="AC337" t="s">
        <v>74</v>
      </c>
      <c r="AD337" t="s">
        <v>74</v>
      </c>
      <c r="AE337" t="s">
        <v>74</v>
      </c>
      <c r="AF337" t="s">
        <v>74</v>
      </c>
      <c r="AG337">
        <v>17</v>
      </c>
      <c r="AH337">
        <v>1</v>
      </c>
      <c r="AI337">
        <v>1</v>
      </c>
      <c r="AJ337">
        <v>0</v>
      </c>
      <c r="AK337">
        <v>3</v>
      </c>
      <c r="AL337" t="s">
        <v>5144</v>
      </c>
      <c r="AM337" t="s">
        <v>5145</v>
      </c>
      <c r="AN337" t="s">
        <v>5146</v>
      </c>
      <c r="AO337" t="s">
        <v>5147</v>
      </c>
      <c r="AP337" t="s">
        <v>74</v>
      </c>
      <c r="AQ337" t="s">
        <v>74</v>
      </c>
      <c r="AR337" t="s">
        <v>5148</v>
      </c>
      <c r="AS337" t="s">
        <v>5149</v>
      </c>
      <c r="AT337" t="s">
        <v>4254</v>
      </c>
      <c r="AU337">
        <v>2004</v>
      </c>
      <c r="AV337">
        <v>83</v>
      </c>
      <c r="AW337">
        <v>10</v>
      </c>
      <c r="AX337" t="s">
        <v>74</v>
      </c>
      <c r="AY337" t="s">
        <v>74</v>
      </c>
      <c r="AZ337" t="s">
        <v>74</v>
      </c>
      <c r="BA337" t="s">
        <v>74</v>
      </c>
      <c r="BB337">
        <v>1229</v>
      </c>
      <c r="BC337">
        <v>1236</v>
      </c>
      <c r="BD337" t="s">
        <v>74</v>
      </c>
      <c r="BE337" t="s">
        <v>74</v>
      </c>
      <c r="BF337" t="s">
        <v>74</v>
      </c>
      <c r="BG337" t="s">
        <v>74</v>
      </c>
      <c r="BH337" t="s">
        <v>74</v>
      </c>
      <c r="BI337">
        <v>8</v>
      </c>
      <c r="BJ337" t="s">
        <v>205</v>
      </c>
      <c r="BK337" t="s">
        <v>139</v>
      </c>
      <c r="BL337" t="s">
        <v>205</v>
      </c>
      <c r="BM337" t="s">
        <v>5150</v>
      </c>
      <c r="BN337" t="s">
        <v>74</v>
      </c>
      <c r="BO337" t="s">
        <v>74</v>
      </c>
      <c r="BP337" t="s">
        <v>74</v>
      </c>
      <c r="BQ337" t="s">
        <v>74</v>
      </c>
      <c r="BR337" t="s">
        <v>98</v>
      </c>
      <c r="BS337" t="s">
        <v>5151</v>
      </c>
      <c r="BT337" t="str">
        <f>HYPERLINK("https%3A%2F%2Fwww.webofscience.com%2Fwos%2Fwoscc%2Ffull-record%2FWOS:000225238000005","View Full Record in Web of Science")</f>
        <v>View Full Record in Web of Science</v>
      </c>
    </row>
    <row r="338" spans="1:72" x14ac:dyDescent="0.15">
      <c r="A338" t="s">
        <v>122</v>
      </c>
      <c r="B338" t="s">
        <v>5152</v>
      </c>
      <c r="C338" t="s">
        <v>74</v>
      </c>
      <c r="D338" t="s">
        <v>74</v>
      </c>
      <c r="E338" t="s">
        <v>74</v>
      </c>
      <c r="F338" t="s">
        <v>5152</v>
      </c>
      <c r="G338" t="s">
        <v>74</v>
      </c>
      <c r="H338" t="s">
        <v>74</v>
      </c>
      <c r="I338" t="s">
        <v>5153</v>
      </c>
      <c r="J338" t="s">
        <v>2159</v>
      </c>
      <c r="K338" t="s">
        <v>74</v>
      </c>
      <c r="L338" t="s">
        <v>74</v>
      </c>
      <c r="M338" t="s">
        <v>79</v>
      </c>
      <c r="N338" t="s">
        <v>126</v>
      </c>
      <c r="O338" t="s">
        <v>74</v>
      </c>
      <c r="P338" t="s">
        <v>74</v>
      </c>
      <c r="Q338" t="s">
        <v>74</v>
      </c>
      <c r="R338" t="s">
        <v>74</v>
      </c>
      <c r="S338" t="s">
        <v>74</v>
      </c>
      <c r="T338" t="s">
        <v>74</v>
      </c>
      <c r="U338" t="s">
        <v>5154</v>
      </c>
      <c r="V338" t="s">
        <v>5155</v>
      </c>
      <c r="W338" t="s">
        <v>5156</v>
      </c>
      <c r="X338" t="s">
        <v>5157</v>
      </c>
      <c r="Y338" t="s">
        <v>5158</v>
      </c>
      <c r="Z338" t="s">
        <v>5159</v>
      </c>
      <c r="AA338" t="s">
        <v>5160</v>
      </c>
      <c r="AB338" t="s">
        <v>5161</v>
      </c>
      <c r="AC338" t="s">
        <v>5162</v>
      </c>
      <c r="AD338" t="s">
        <v>5163</v>
      </c>
      <c r="AE338" t="s">
        <v>74</v>
      </c>
      <c r="AF338" t="s">
        <v>74</v>
      </c>
      <c r="AG338">
        <v>39</v>
      </c>
      <c r="AH338">
        <v>18</v>
      </c>
      <c r="AI338">
        <v>22</v>
      </c>
      <c r="AJ338">
        <v>0</v>
      </c>
      <c r="AK338">
        <v>10</v>
      </c>
      <c r="AL338" t="s">
        <v>2170</v>
      </c>
      <c r="AM338" t="s">
        <v>240</v>
      </c>
      <c r="AN338" t="s">
        <v>2171</v>
      </c>
      <c r="AO338" t="s">
        <v>2172</v>
      </c>
      <c r="AP338" t="s">
        <v>74</v>
      </c>
      <c r="AQ338" t="s">
        <v>74</v>
      </c>
      <c r="AR338" t="s">
        <v>2173</v>
      </c>
      <c r="AS338" t="s">
        <v>2174</v>
      </c>
      <c r="AT338" t="s">
        <v>5164</v>
      </c>
      <c r="AU338">
        <v>2004</v>
      </c>
      <c r="AV338">
        <v>43</v>
      </c>
      <c r="AW338">
        <v>38</v>
      </c>
      <c r="AX338" t="s">
        <v>74</v>
      </c>
      <c r="AY338" t="s">
        <v>74</v>
      </c>
      <c r="AZ338" t="s">
        <v>74</v>
      </c>
      <c r="BA338" t="s">
        <v>74</v>
      </c>
      <c r="BB338">
        <v>12265</v>
      </c>
      <c r="BC338">
        <v>12274</v>
      </c>
      <c r="BD338" t="s">
        <v>74</v>
      </c>
      <c r="BE338" t="s">
        <v>5165</v>
      </c>
      <c r="BF338" t="str">
        <f>HYPERLINK("http://dx.doi.org/10.1021/bi049070z","http://dx.doi.org/10.1021/bi049070z")</f>
        <v>http://dx.doi.org/10.1021/bi049070z</v>
      </c>
      <c r="BG338" t="s">
        <v>74</v>
      </c>
      <c r="BH338" t="s">
        <v>74</v>
      </c>
      <c r="BI338">
        <v>10</v>
      </c>
      <c r="BJ338" t="s">
        <v>1214</v>
      </c>
      <c r="BK338" t="s">
        <v>139</v>
      </c>
      <c r="BL338" t="s">
        <v>1214</v>
      </c>
      <c r="BM338" t="s">
        <v>5166</v>
      </c>
      <c r="BN338">
        <v>15379565</v>
      </c>
      <c r="BO338" t="s">
        <v>74</v>
      </c>
      <c r="BP338" t="s">
        <v>74</v>
      </c>
      <c r="BQ338" t="s">
        <v>74</v>
      </c>
      <c r="BR338" t="s">
        <v>98</v>
      </c>
      <c r="BS338" t="s">
        <v>5167</v>
      </c>
      <c r="BT338" t="str">
        <f>HYPERLINK("https%3A%2F%2Fwww.webofscience.com%2Fwos%2Fwoscc%2Ffull-record%2FWOS:000224032900034","View Full Record in Web of Science")</f>
        <v>View Full Record in Web of Science</v>
      </c>
    </row>
    <row r="339" spans="1:72" x14ac:dyDescent="0.15">
      <c r="A339" t="s">
        <v>122</v>
      </c>
      <c r="B339" t="s">
        <v>5168</v>
      </c>
      <c r="C339" t="s">
        <v>74</v>
      </c>
      <c r="D339" t="s">
        <v>74</v>
      </c>
      <c r="E339" t="s">
        <v>74</v>
      </c>
      <c r="F339" t="s">
        <v>5168</v>
      </c>
      <c r="G339" t="s">
        <v>74</v>
      </c>
      <c r="H339" t="s">
        <v>74</v>
      </c>
      <c r="I339" t="s">
        <v>5169</v>
      </c>
      <c r="J339" t="s">
        <v>230</v>
      </c>
      <c r="K339" t="s">
        <v>74</v>
      </c>
      <c r="L339" t="s">
        <v>74</v>
      </c>
      <c r="M339" t="s">
        <v>79</v>
      </c>
      <c r="N339" t="s">
        <v>126</v>
      </c>
      <c r="O339" t="s">
        <v>74</v>
      </c>
      <c r="P339" t="s">
        <v>74</v>
      </c>
      <c r="Q339" t="s">
        <v>74</v>
      </c>
      <c r="R339" t="s">
        <v>74</v>
      </c>
      <c r="S339" t="s">
        <v>74</v>
      </c>
      <c r="T339" t="s">
        <v>74</v>
      </c>
      <c r="U339" t="s">
        <v>5170</v>
      </c>
      <c r="V339" t="s">
        <v>5171</v>
      </c>
      <c r="W339" t="s">
        <v>5172</v>
      </c>
      <c r="X339" t="s">
        <v>5173</v>
      </c>
      <c r="Y339" t="s">
        <v>5174</v>
      </c>
      <c r="Z339" t="s">
        <v>5175</v>
      </c>
      <c r="AA339" t="s">
        <v>5176</v>
      </c>
      <c r="AB339" t="s">
        <v>5177</v>
      </c>
      <c r="AC339" t="s">
        <v>74</v>
      </c>
      <c r="AD339" t="s">
        <v>74</v>
      </c>
      <c r="AE339" t="s">
        <v>74</v>
      </c>
      <c r="AF339" t="s">
        <v>74</v>
      </c>
      <c r="AG339">
        <v>25</v>
      </c>
      <c r="AH339">
        <v>262</v>
      </c>
      <c r="AI339">
        <v>291</v>
      </c>
      <c r="AJ339">
        <v>3</v>
      </c>
      <c r="AK339">
        <v>70</v>
      </c>
      <c r="AL339" t="s">
        <v>239</v>
      </c>
      <c r="AM339" t="s">
        <v>240</v>
      </c>
      <c r="AN339" t="s">
        <v>241</v>
      </c>
      <c r="AO339" t="s">
        <v>242</v>
      </c>
      <c r="AP339" t="s">
        <v>341</v>
      </c>
      <c r="AQ339" t="s">
        <v>74</v>
      </c>
      <c r="AR339" t="s">
        <v>243</v>
      </c>
      <c r="AS339" t="s">
        <v>244</v>
      </c>
      <c r="AT339" t="s">
        <v>5178</v>
      </c>
      <c r="AU339">
        <v>2004</v>
      </c>
      <c r="AV339">
        <v>31</v>
      </c>
      <c r="AW339">
        <v>18</v>
      </c>
      <c r="AX339" t="s">
        <v>74</v>
      </c>
      <c r="AY339" t="s">
        <v>74</v>
      </c>
      <c r="AZ339" t="s">
        <v>74</v>
      </c>
      <c r="BA339" t="s">
        <v>74</v>
      </c>
      <c r="BB339" t="s">
        <v>74</v>
      </c>
      <c r="BC339" t="s">
        <v>74</v>
      </c>
      <c r="BD339" t="s">
        <v>5179</v>
      </c>
      <c r="BE339" t="s">
        <v>5180</v>
      </c>
      <c r="BF339" t="str">
        <f>HYPERLINK("http://dx.doi.org/10.1029/2004GL020724","http://dx.doi.org/10.1029/2004GL020724")</f>
        <v>http://dx.doi.org/10.1029/2004GL020724</v>
      </c>
      <c r="BG339" t="s">
        <v>74</v>
      </c>
      <c r="BH339" t="s">
        <v>74</v>
      </c>
      <c r="BI339">
        <v>4</v>
      </c>
      <c r="BJ339" t="s">
        <v>248</v>
      </c>
      <c r="BK339" t="s">
        <v>139</v>
      </c>
      <c r="BL339" t="s">
        <v>249</v>
      </c>
      <c r="BM339" t="s">
        <v>5181</v>
      </c>
      <c r="BN339" t="s">
        <v>74</v>
      </c>
      <c r="BO339" t="s">
        <v>273</v>
      </c>
      <c r="BP339" t="s">
        <v>74</v>
      </c>
      <c r="BQ339" t="s">
        <v>74</v>
      </c>
      <c r="BR339" t="s">
        <v>98</v>
      </c>
      <c r="BS339" t="s">
        <v>5182</v>
      </c>
      <c r="BT339" t="str">
        <f>HYPERLINK("https%3A%2F%2Fwww.webofscience.com%2Fwos%2Fwoscc%2Ffull-record%2FWOS:000224126200003","View Full Record in Web of Science")</f>
        <v>View Full Record in Web of Science</v>
      </c>
    </row>
    <row r="340" spans="1:72" x14ac:dyDescent="0.15">
      <c r="A340" t="s">
        <v>122</v>
      </c>
      <c r="B340" t="s">
        <v>5183</v>
      </c>
      <c r="C340" t="s">
        <v>74</v>
      </c>
      <c r="D340" t="s">
        <v>74</v>
      </c>
      <c r="E340" t="s">
        <v>74</v>
      </c>
      <c r="F340" t="s">
        <v>5183</v>
      </c>
      <c r="G340" t="s">
        <v>74</v>
      </c>
      <c r="H340" t="s">
        <v>74</v>
      </c>
      <c r="I340" t="s">
        <v>5184</v>
      </c>
      <c r="J340" t="s">
        <v>230</v>
      </c>
      <c r="K340" t="s">
        <v>74</v>
      </c>
      <c r="L340" t="s">
        <v>74</v>
      </c>
      <c r="M340" t="s">
        <v>79</v>
      </c>
      <c r="N340" t="s">
        <v>126</v>
      </c>
      <c r="O340" t="s">
        <v>74</v>
      </c>
      <c r="P340" t="s">
        <v>74</v>
      </c>
      <c r="Q340" t="s">
        <v>74</v>
      </c>
      <c r="R340" t="s">
        <v>74</v>
      </c>
      <c r="S340" t="s">
        <v>74</v>
      </c>
      <c r="T340" t="s">
        <v>74</v>
      </c>
      <c r="U340" t="s">
        <v>5185</v>
      </c>
      <c r="V340" t="s">
        <v>5186</v>
      </c>
      <c r="W340" t="s">
        <v>5187</v>
      </c>
      <c r="X340" t="s">
        <v>5188</v>
      </c>
      <c r="Y340" t="s">
        <v>5189</v>
      </c>
      <c r="Z340" t="s">
        <v>5190</v>
      </c>
      <c r="AA340" t="s">
        <v>5191</v>
      </c>
      <c r="AB340" t="s">
        <v>5192</v>
      </c>
      <c r="AC340" t="s">
        <v>74</v>
      </c>
      <c r="AD340" t="s">
        <v>74</v>
      </c>
      <c r="AE340" t="s">
        <v>74</v>
      </c>
      <c r="AF340" t="s">
        <v>74</v>
      </c>
      <c r="AG340">
        <v>17</v>
      </c>
      <c r="AH340">
        <v>17</v>
      </c>
      <c r="AI340">
        <v>18</v>
      </c>
      <c r="AJ340">
        <v>0</v>
      </c>
      <c r="AK340">
        <v>1</v>
      </c>
      <c r="AL340" t="s">
        <v>239</v>
      </c>
      <c r="AM340" t="s">
        <v>240</v>
      </c>
      <c r="AN340" t="s">
        <v>241</v>
      </c>
      <c r="AO340" t="s">
        <v>242</v>
      </c>
      <c r="AP340" t="s">
        <v>341</v>
      </c>
      <c r="AQ340" t="s">
        <v>74</v>
      </c>
      <c r="AR340" t="s">
        <v>243</v>
      </c>
      <c r="AS340" t="s">
        <v>244</v>
      </c>
      <c r="AT340" t="s">
        <v>5193</v>
      </c>
      <c r="AU340">
        <v>2004</v>
      </c>
      <c r="AV340">
        <v>31</v>
      </c>
      <c r="AW340">
        <v>18</v>
      </c>
      <c r="AX340" t="s">
        <v>74</v>
      </c>
      <c r="AY340" t="s">
        <v>74</v>
      </c>
      <c r="AZ340" t="s">
        <v>74</v>
      </c>
      <c r="BA340" t="s">
        <v>74</v>
      </c>
      <c r="BB340" t="s">
        <v>74</v>
      </c>
      <c r="BC340" t="s">
        <v>74</v>
      </c>
      <c r="BD340" t="s">
        <v>5194</v>
      </c>
      <c r="BE340" t="s">
        <v>5195</v>
      </c>
      <c r="BF340" t="str">
        <f>HYPERLINK("http://dx.doi.org/10.1029/2004GL020846","http://dx.doi.org/10.1029/2004GL020846")</f>
        <v>http://dx.doi.org/10.1029/2004GL020846</v>
      </c>
      <c r="BG340" t="s">
        <v>74</v>
      </c>
      <c r="BH340" t="s">
        <v>74</v>
      </c>
      <c r="BI340">
        <v>4</v>
      </c>
      <c r="BJ340" t="s">
        <v>248</v>
      </c>
      <c r="BK340" t="s">
        <v>139</v>
      </c>
      <c r="BL340" t="s">
        <v>249</v>
      </c>
      <c r="BM340" t="s">
        <v>5196</v>
      </c>
      <c r="BN340" t="s">
        <v>74</v>
      </c>
      <c r="BO340" t="s">
        <v>1866</v>
      </c>
      <c r="BP340" t="s">
        <v>74</v>
      </c>
      <c r="BQ340" t="s">
        <v>74</v>
      </c>
      <c r="BR340" t="s">
        <v>98</v>
      </c>
      <c r="BS340" t="s">
        <v>5197</v>
      </c>
      <c r="BT340" t="str">
        <f>HYPERLINK("https%3A%2F%2Fwww.webofscience.com%2Fwos%2Fwoscc%2Ffull-record%2FWOS:000224126100005","View Full Record in Web of Science")</f>
        <v>View Full Record in Web of Science</v>
      </c>
    </row>
    <row r="341" spans="1:72" x14ac:dyDescent="0.15">
      <c r="A341" t="s">
        <v>122</v>
      </c>
      <c r="B341" t="s">
        <v>5198</v>
      </c>
      <c r="C341" t="s">
        <v>74</v>
      </c>
      <c r="D341" t="s">
        <v>74</v>
      </c>
      <c r="E341" t="s">
        <v>74</v>
      </c>
      <c r="F341" t="s">
        <v>5198</v>
      </c>
      <c r="G341" t="s">
        <v>74</v>
      </c>
      <c r="H341" t="s">
        <v>74</v>
      </c>
      <c r="I341" t="s">
        <v>5199</v>
      </c>
      <c r="J341" t="s">
        <v>643</v>
      </c>
      <c r="K341" t="s">
        <v>74</v>
      </c>
      <c r="L341" t="s">
        <v>74</v>
      </c>
      <c r="M341" t="s">
        <v>79</v>
      </c>
      <c r="N341" t="s">
        <v>126</v>
      </c>
      <c r="O341" t="s">
        <v>74</v>
      </c>
      <c r="P341" t="s">
        <v>74</v>
      </c>
      <c r="Q341" t="s">
        <v>74</v>
      </c>
      <c r="R341" t="s">
        <v>74</v>
      </c>
      <c r="S341" t="s">
        <v>74</v>
      </c>
      <c r="T341" t="s">
        <v>5200</v>
      </c>
      <c r="U341" t="s">
        <v>5201</v>
      </c>
      <c r="V341" t="s">
        <v>5202</v>
      </c>
      <c r="W341" t="s">
        <v>5203</v>
      </c>
      <c r="X341" t="s">
        <v>5204</v>
      </c>
      <c r="Y341" t="s">
        <v>5205</v>
      </c>
      <c r="Z341" t="s">
        <v>5206</v>
      </c>
      <c r="AA341" t="s">
        <v>5207</v>
      </c>
      <c r="AB341" t="s">
        <v>5208</v>
      </c>
      <c r="AC341" t="s">
        <v>74</v>
      </c>
      <c r="AD341" t="s">
        <v>74</v>
      </c>
      <c r="AE341" t="s">
        <v>74</v>
      </c>
      <c r="AF341" t="s">
        <v>74</v>
      </c>
      <c r="AG341">
        <v>41</v>
      </c>
      <c r="AH341">
        <v>58</v>
      </c>
      <c r="AI341">
        <v>58</v>
      </c>
      <c r="AJ341">
        <v>0</v>
      </c>
      <c r="AK341">
        <v>14</v>
      </c>
      <c r="AL341" t="s">
        <v>239</v>
      </c>
      <c r="AM341" t="s">
        <v>240</v>
      </c>
      <c r="AN341" t="s">
        <v>241</v>
      </c>
      <c r="AO341" t="s">
        <v>653</v>
      </c>
      <c r="AP341" t="s">
        <v>654</v>
      </c>
      <c r="AQ341" t="s">
        <v>74</v>
      </c>
      <c r="AR341" t="s">
        <v>655</v>
      </c>
      <c r="AS341" t="s">
        <v>656</v>
      </c>
      <c r="AT341" t="s">
        <v>5193</v>
      </c>
      <c r="AU341">
        <v>2004</v>
      </c>
      <c r="AV341">
        <v>109</v>
      </c>
      <c r="AW341" t="s">
        <v>5209</v>
      </c>
      <c r="AX341" t="s">
        <v>74</v>
      </c>
      <c r="AY341" t="s">
        <v>74</v>
      </c>
      <c r="AZ341" t="s">
        <v>74</v>
      </c>
      <c r="BA341" t="s">
        <v>74</v>
      </c>
      <c r="BB341" t="s">
        <v>74</v>
      </c>
      <c r="BC341" t="s">
        <v>74</v>
      </c>
      <c r="BD341" t="s">
        <v>5210</v>
      </c>
      <c r="BE341" t="s">
        <v>5211</v>
      </c>
      <c r="BF341" t="str">
        <f>HYPERLINK("http://dx.doi.org/10.1029/2003JC001784","http://dx.doi.org/10.1029/2003JC001784")</f>
        <v>http://dx.doi.org/10.1029/2003JC001784</v>
      </c>
      <c r="BG341" t="s">
        <v>74</v>
      </c>
      <c r="BH341" t="s">
        <v>74</v>
      </c>
      <c r="BI341">
        <v>19</v>
      </c>
      <c r="BJ341" t="s">
        <v>660</v>
      </c>
      <c r="BK341" t="s">
        <v>139</v>
      </c>
      <c r="BL341" t="s">
        <v>660</v>
      </c>
      <c r="BM341" t="s">
        <v>5212</v>
      </c>
      <c r="BN341" t="s">
        <v>74</v>
      </c>
      <c r="BO341" t="s">
        <v>518</v>
      </c>
      <c r="BP341" t="s">
        <v>74</v>
      </c>
      <c r="BQ341" t="s">
        <v>74</v>
      </c>
      <c r="BR341" t="s">
        <v>98</v>
      </c>
      <c r="BS341" t="s">
        <v>5213</v>
      </c>
      <c r="BT341" t="str">
        <f>HYPERLINK("https%3A%2F%2Fwww.webofscience.com%2Fwos%2Fwoscc%2Ffull-record%2FWOS:000224127000001","View Full Record in Web of Science")</f>
        <v>View Full Record in Web of Science</v>
      </c>
    </row>
    <row r="342" spans="1:72" x14ac:dyDescent="0.15">
      <c r="A342" t="s">
        <v>122</v>
      </c>
      <c r="B342" t="s">
        <v>5214</v>
      </c>
      <c r="C342" t="s">
        <v>74</v>
      </c>
      <c r="D342" t="s">
        <v>74</v>
      </c>
      <c r="E342" t="s">
        <v>74</v>
      </c>
      <c r="F342" t="s">
        <v>5214</v>
      </c>
      <c r="G342" t="s">
        <v>74</v>
      </c>
      <c r="H342" t="s">
        <v>74</v>
      </c>
      <c r="I342" t="s">
        <v>5215</v>
      </c>
      <c r="J342" t="s">
        <v>3890</v>
      </c>
      <c r="K342" t="s">
        <v>74</v>
      </c>
      <c r="L342" t="s">
        <v>74</v>
      </c>
      <c r="M342" t="s">
        <v>79</v>
      </c>
      <c r="N342" t="s">
        <v>126</v>
      </c>
      <c r="O342" t="s">
        <v>74</v>
      </c>
      <c r="P342" t="s">
        <v>74</v>
      </c>
      <c r="Q342" t="s">
        <v>74</v>
      </c>
      <c r="R342" t="s">
        <v>74</v>
      </c>
      <c r="S342" t="s">
        <v>74</v>
      </c>
      <c r="T342" t="s">
        <v>74</v>
      </c>
      <c r="U342" t="s">
        <v>5216</v>
      </c>
      <c r="V342" t="s">
        <v>5217</v>
      </c>
      <c r="W342" t="s">
        <v>5218</v>
      </c>
      <c r="X342" t="s">
        <v>5219</v>
      </c>
      <c r="Y342" t="s">
        <v>5220</v>
      </c>
      <c r="Z342" t="s">
        <v>5221</v>
      </c>
      <c r="AA342" t="s">
        <v>5222</v>
      </c>
      <c r="AB342" t="s">
        <v>5223</v>
      </c>
      <c r="AC342" t="s">
        <v>74</v>
      </c>
      <c r="AD342" t="s">
        <v>74</v>
      </c>
      <c r="AE342" t="s">
        <v>74</v>
      </c>
      <c r="AF342" t="s">
        <v>74</v>
      </c>
      <c r="AG342">
        <v>22</v>
      </c>
      <c r="AH342">
        <v>52</v>
      </c>
      <c r="AI342">
        <v>59</v>
      </c>
      <c r="AJ342">
        <v>0</v>
      </c>
      <c r="AK342">
        <v>6</v>
      </c>
      <c r="AL342" t="s">
        <v>3893</v>
      </c>
      <c r="AM342" t="s">
        <v>240</v>
      </c>
      <c r="AN342" t="s">
        <v>3894</v>
      </c>
      <c r="AO342" t="s">
        <v>3895</v>
      </c>
      <c r="AP342" t="s">
        <v>74</v>
      </c>
      <c r="AQ342" t="s">
        <v>74</v>
      </c>
      <c r="AR342" t="s">
        <v>3890</v>
      </c>
      <c r="AS342" t="s">
        <v>3896</v>
      </c>
      <c r="AT342" t="s">
        <v>5193</v>
      </c>
      <c r="AU342">
        <v>2004</v>
      </c>
      <c r="AV342">
        <v>305</v>
      </c>
      <c r="AW342">
        <v>5692</v>
      </c>
      <c r="AX342" t="s">
        <v>74</v>
      </c>
      <c r="AY342" t="s">
        <v>74</v>
      </c>
      <c r="AZ342" t="s">
        <v>74</v>
      </c>
      <c r="BA342" t="s">
        <v>74</v>
      </c>
      <c r="BB342">
        <v>1948</v>
      </c>
      <c r="BC342">
        <v>1951</v>
      </c>
      <c r="BD342" t="s">
        <v>74</v>
      </c>
      <c r="BE342" t="s">
        <v>5224</v>
      </c>
      <c r="BF342" t="str">
        <f>HYPERLINK("http://dx.doi.org/10.1126/science.1101072","http://dx.doi.org/10.1126/science.1101072")</f>
        <v>http://dx.doi.org/10.1126/science.1101072</v>
      </c>
      <c r="BG342" t="s">
        <v>74</v>
      </c>
      <c r="BH342" t="s">
        <v>74</v>
      </c>
      <c r="BI342">
        <v>4</v>
      </c>
      <c r="BJ342" t="s">
        <v>381</v>
      </c>
      <c r="BK342" t="s">
        <v>139</v>
      </c>
      <c r="BL342" t="s">
        <v>382</v>
      </c>
      <c r="BM342" t="s">
        <v>5225</v>
      </c>
      <c r="BN342">
        <v>15448266</v>
      </c>
      <c r="BO342" t="s">
        <v>74</v>
      </c>
      <c r="BP342" t="s">
        <v>74</v>
      </c>
      <c r="BQ342" t="s">
        <v>74</v>
      </c>
      <c r="BR342" t="s">
        <v>98</v>
      </c>
      <c r="BS342" t="s">
        <v>5226</v>
      </c>
      <c r="BT342" t="str">
        <f>HYPERLINK("https%3A%2F%2Fwww.webofscience.com%2Fwos%2Fwoscc%2Ffull-record%2FWOS:000224136000043","View Full Record in Web of Science")</f>
        <v>View Full Record in Web of Science</v>
      </c>
    </row>
    <row r="343" spans="1:72" x14ac:dyDescent="0.15">
      <c r="A343" t="s">
        <v>122</v>
      </c>
      <c r="B343" t="s">
        <v>5227</v>
      </c>
      <c r="C343" t="s">
        <v>74</v>
      </c>
      <c r="D343" t="s">
        <v>74</v>
      </c>
      <c r="E343" t="s">
        <v>74</v>
      </c>
      <c r="F343" t="s">
        <v>5227</v>
      </c>
      <c r="G343" t="s">
        <v>74</v>
      </c>
      <c r="H343" t="s">
        <v>74</v>
      </c>
      <c r="I343" t="s">
        <v>5228</v>
      </c>
      <c r="J343" t="s">
        <v>277</v>
      </c>
      <c r="K343" t="s">
        <v>74</v>
      </c>
      <c r="L343" t="s">
        <v>74</v>
      </c>
      <c r="M343" t="s">
        <v>79</v>
      </c>
      <c r="N343" t="s">
        <v>126</v>
      </c>
      <c r="O343" t="s">
        <v>74</v>
      </c>
      <c r="P343" t="s">
        <v>74</v>
      </c>
      <c r="Q343" t="s">
        <v>74</v>
      </c>
      <c r="R343" t="s">
        <v>74</v>
      </c>
      <c r="S343" t="s">
        <v>74</v>
      </c>
      <c r="T343" t="s">
        <v>5229</v>
      </c>
      <c r="U343" t="s">
        <v>5230</v>
      </c>
      <c r="V343" t="s">
        <v>5231</v>
      </c>
      <c r="W343" t="s">
        <v>5232</v>
      </c>
      <c r="X343" t="s">
        <v>5233</v>
      </c>
      <c r="Y343" t="s">
        <v>5234</v>
      </c>
      <c r="Z343" t="s">
        <v>5235</v>
      </c>
      <c r="AA343" t="s">
        <v>5236</v>
      </c>
      <c r="AB343" t="s">
        <v>5237</v>
      </c>
      <c r="AC343" t="s">
        <v>74</v>
      </c>
      <c r="AD343" t="s">
        <v>74</v>
      </c>
      <c r="AE343" t="s">
        <v>74</v>
      </c>
      <c r="AF343" t="s">
        <v>74</v>
      </c>
      <c r="AG343">
        <v>23</v>
      </c>
      <c r="AH343">
        <v>5</v>
      </c>
      <c r="AI343">
        <v>6</v>
      </c>
      <c r="AJ343">
        <v>0</v>
      </c>
      <c r="AK343">
        <v>2</v>
      </c>
      <c r="AL343" t="s">
        <v>239</v>
      </c>
      <c r="AM343" t="s">
        <v>240</v>
      </c>
      <c r="AN343" t="s">
        <v>241</v>
      </c>
      <c r="AO343" t="s">
        <v>284</v>
      </c>
      <c r="AP343" t="s">
        <v>285</v>
      </c>
      <c r="AQ343" t="s">
        <v>74</v>
      </c>
      <c r="AR343" t="s">
        <v>286</v>
      </c>
      <c r="AS343" t="s">
        <v>287</v>
      </c>
      <c r="AT343" t="s">
        <v>5238</v>
      </c>
      <c r="AU343">
        <v>2004</v>
      </c>
      <c r="AV343">
        <v>109</v>
      </c>
      <c r="AW343" t="s">
        <v>5239</v>
      </c>
      <c r="AX343" t="s">
        <v>74</v>
      </c>
      <c r="AY343" t="s">
        <v>74</v>
      </c>
      <c r="AZ343" t="s">
        <v>74</v>
      </c>
      <c r="BA343" t="s">
        <v>74</v>
      </c>
      <c r="BB343" t="s">
        <v>74</v>
      </c>
      <c r="BC343" t="s">
        <v>74</v>
      </c>
      <c r="BD343" t="s">
        <v>5240</v>
      </c>
      <c r="BE343" t="s">
        <v>5241</v>
      </c>
      <c r="BF343" t="str">
        <f>HYPERLINK("http://dx.doi.org/10.1029/2004JD004650","http://dx.doi.org/10.1029/2004JD004650")</f>
        <v>http://dx.doi.org/10.1029/2004JD004650</v>
      </c>
      <c r="BG343" t="s">
        <v>74</v>
      </c>
      <c r="BH343" t="s">
        <v>74</v>
      </c>
      <c r="BI343">
        <v>9</v>
      </c>
      <c r="BJ343" t="s">
        <v>291</v>
      </c>
      <c r="BK343" t="s">
        <v>139</v>
      </c>
      <c r="BL343" t="s">
        <v>291</v>
      </c>
      <c r="BM343" t="s">
        <v>5242</v>
      </c>
      <c r="BN343" t="s">
        <v>74</v>
      </c>
      <c r="BO343" t="s">
        <v>329</v>
      </c>
      <c r="BP343" t="s">
        <v>74</v>
      </c>
      <c r="BQ343" t="s">
        <v>74</v>
      </c>
      <c r="BR343" t="s">
        <v>98</v>
      </c>
      <c r="BS343" t="s">
        <v>5243</v>
      </c>
      <c r="BT343" t="str">
        <f>HYPERLINK("https%3A%2F%2Fwww.webofscience.com%2Fwos%2Fwoscc%2Ffull-record%2FWOS:000224126500005","View Full Record in Web of Science")</f>
        <v>View Full Record in Web of Science</v>
      </c>
    </row>
    <row r="344" spans="1:72" x14ac:dyDescent="0.15">
      <c r="A344" t="s">
        <v>122</v>
      </c>
      <c r="B344" t="s">
        <v>5244</v>
      </c>
      <c r="C344" t="s">
        <v>74</v>
      </c>
      <c r="D344" t="s">
        <v>74</v>
      </c>
      <c r="E344" t="s">
        <v>74</v>
      </c>
      <c r="F344" t="s">
        <v>5244</v>
      </c>
      <c r="G344" t="s">
        <v>74</v>
      </c>
      <c r="H344" t="s">
        <v>74</v>
      </c>
      <c r="I344" t="s">
        <v>5245</v>
      </c>
      <c r="J344" t="s">
        <v>277</v>
      </c>
      <c r="K344" t="s">
        <v>74</v>
      </c>
      <c r="L344" t="s">
        <v>74</v>
      </c>
      <c r="M344" t="s">
        <v>79</v>
      </c>
      <c r="N344" t="s">
        <v>126</v>
      </c>
      <c r="O344" t="s">
        <v>74</v>
      </c>
      <c r="P344" t="s">
        <v>74</v>
      </c>
      <c r="Q344" t="s">
        <v>74</v>
      </c>
      <c r="R344" t="s">
        <v>74</v>
      </c>
      <c r="S344" t="s">
        <v>74</v>
      </c>
      <c r="T344" t="s">
        <v>5246</v>
      </c>
      <c r="U344" t="s">
        <v>5247</v>
      </c>
      <c r="V344" t="s">
        <v>5248</v>
      </c>
      <c r="W344" t="s">
        <v>5249</v>
      </c>
      <c r="X344" t="s">
        <v>5250</v>
      </c>
      <c r="Y344" t="s">
        <v>5251</v>
      </c>
      <c r="Z344" t="s">
        <v>5252</v>
      </c>
      <c r="AA344" t="s">
        <v>5253</v>
      </c>
      <c r="AB344" t="s">
        <v>5254</v>
      </c>
      <c r="AC344" t="s">
        <v>74</v>
      </c>
      <c r="AD344" t="s">
        <v>74</v>
      </c>
      <c r="AE344" t="s">
        <v>74</v>
      </c>
      <c r="AF344" t="s">
        <v>74</v>
      </c>
      <c r="AG344">
        <v>30</v>
      </c>
      <c r="AH344">
        <v>19</v>
      </c>
      <c r="AI344">
        <v>20</v>
      </c>
      <c r="AJ344">
        <v>0</v>
      </c>
      <c r="AK344">
        <v>4</v>
      </c>
      <c r="AL344" t="s">
        <v>239</v>
      </c>
      <c r="AM344" t="s">
        <v>240</v>
      </c>
      <c r="AN344" t="s">
        <v>241</v>
      </c>
      <c r="AO344" t="s">
        <v>284</v>
      </c>
      <c r="AP344" t="s">
        <v>285</v>
      </c>
      <c r="AQ344" t="s">
        <v>74</v>
      </c>
      <c r="AR344" t="s">
        <v>286</v>
      </c>
      <c r="AS344" t="s">
        <v>287</v>
      </c>
      <c r="AT344" t="s">
        <v>5238</v>
      </c>
      <c r="AU344">
        <v>2004</v>
      </c>
      <c r="AV344">
        <v>109</v>
      </c>
      <c r="AW344" t="s">
        <v>5239</v>
      </c>
      <c r="AX344" t="s">
        <v>74</v>
      </c>
      <c r="AY344" t="s">
        <v>74</v>
      </c>
      <c r="AZ344" t="s">
        <v>74</v>
      </c>
      <c r="BA344" t="s">
        <v>74</v>
      </c>
      <c r="BB344" t="s">
        <v>74</v>
      </c>
      <c r="BC344" t="s">
        <v>74</v>
      </c>
      <c r="BD344" t="s">
        <v>5255</v>
      </c>
      <c r="BE344" t="s">
        <v>5256</v>
      </c>
      <c r="BF344" t="str">
        <f>HYPERLINK("http://dx.doi.org/10.1029/2004JD004665","http://dx.doi.org/10.1029/2004JD004665")</f>
        <v>http://dx.doi.org/10.1029/2004JD004665</v>
      </c>
      <c r="BG344" t="s">
        <v>74</v>
      </c>
      <c r="BH344" t="s">
        <v>74</v>
      </c>
      <c r="BI344">
        <v>9</v>
      </c>
      <c r="BJ344" t="s">
        <v>291</v>
      </c>
      <c r="BK344" t="s">
        <v>139</v>
      </c>
      <c r="BL344" t="s">
        <v>291</v>
      </c>
      <c r="BM344" t="s">
        <v>5242</v>
      </c>
      <c r="BN344" t="s">
        <v>74</v>
      </c>
      <c r="BO344" t="s">
        <v>74</v>
      </c>
      <c r="BP344" t="s">
        <v>74</v>
      </c>
      <c r="BQ344" t="s">
        <v>74</v>
      </c>
      <c r="BR344" t="s">
        <v>98</v>
      </c>
      <c r="BS344" t="s">
        <v>5257</v>
      </c>
      <c r="BT344" t="str">
        <f>HYPERLINK("https%3A%2F%2Fwww.webofscience.com%2Fwos%2Fwoscc%2Ffull-record%2FWOS:000224126500006","View Full Record in Web of Science")</f>
        <v>View Full Record in Web of Science</v>
      </c>
    </row>
    <row r="345" spans="1:72" x14ac:dyDescent="0.15">
      <c r="A345" t="s">
        <v>122</v>
      </c>
      <c r="B345" t="s">
        <v>5258</v>
      </c>
      <c r="C345" t="s">
        <v>74</v>
      </c>
      <c r="D345" t="s">
        <v>74</v>
      </c>
      <c r="E345" t="s">
        <v>74</v>
      </c>
      <c r="F345" t="s">
        <v>5258</v>
      </c>
      <c r="G345" t="s">
        <v>74</v>
      </c>
      <c r="H345" t="s">
        <v>74</v>
      </c>
      <c r="I345" t="s">
        <v>5259</v>
      </c>
      <c r="J345" t="s">
        <v>365</v>
      </c>
      <c r="K345" t="s">
        <v>74</v>
      </c>
      <c r="L345" t="s">
        <v>74</v>
      </c>
      <c r="M345" t="s">
        <v>79</v>
      </c>
      <c r="N345" t="s">
        <v>918</v>
      </c>
      <c r="O345" t="s">
        <v>74</v>
      </c>
      <c r="P345" t="s">
        <v>74</v>
      </c>
      <c r="Q345" t="s">
        <v>74</v>
      </c>
      <c r="R345" t="s">
        <v>74</v>
      </c>
      <c r="S345" t="s">
        <v>74</v>
      </c>
      <c r="T345" t="s">
        <v>74</v>
      </c>
      <c r="U345" t="s">
        <v>74</v>
      </c>
      <c r="V345" t="s">
        <v>74</v>
      </c>
      <c r="W345" t="s">
        <v>5260</v>
      </c>
      <c r="X345" t="s">
        <v>5261</v>
      </c>
      <c r="Y345" t="s">
        <v>5262</v>
      </c>
      <c r="Z345" t="s">
        <v>3796</v>
      </c>
      <c r="AA345" t="s">
        <v>74</v>
      </c>
      <c r="AB345" t="s">
        <v>74</v>
      </c>
      <c r="AC345" t="s">
        <v>74</v>
      </c>
      <c r="AD345" t="s">
        <v>74</v>
      </c>
      <c r="AE345" t="s">
        <v>74</v>
      </c>
      <c r="AF345" t="s">
        <v>74</v>
      </c>
      <c r="AG345">
        <v>8</v>
      </c>
      <c r="AH345">
        <v>81</v>
      </c>
      <c r="AI345">
        <v>92</v>
      </c>
      <c r="AJ345">
        <v>0</v>
      </c>
      <c r="AK345">
        <v>18</v>
      </c>
      <c r="AL345" t="s">
        <v>374</v>
      </c>
      <c r="AM345" t="s">
        <v>375</v>
      </c>
      <c r="AN345" t="s">
        <v>376</v>
      </c>
      <c r="AO345" t="s">
        <v>377</v>
      </c>
      <c r="AP345" t="s">
        <v>378</v>
      </c>
      <c r="AQ345" t="s">
        <v>74</v>
      </c>
      <c r="AR345" t="s">
        <v>365</v>
      </c>
      <c r="AS345" t="s">
        <v>379</v>
      </c>
      <c r="AT345" t="s">
        <v>5238</v>
      </c>
      <c r="AU345">
        <v>2004</v>
      </c>
      <c r="AV345">
        <v>431</v>
      </c>
      <c r="AW345">
        <v>7007</v>
      </c>
      <c r="AX345" t="s">
        <v>74</v>
      </c>
      <c r="AY345" t="s">
        <v>74</v>
      </c>
      <c r="AZ345" t="s">
        <v>74</v>
      </c>
      <c r="BA345" t="s">
        <v>74</v>
      </c>
      <c r="BB345">
        <v>414</v>
      </c>
      <c r="BC345">
        <v>414</v>
      </c>
      <c r="BD345" t="s">
        <v>74</v>
      </c>
      <c r="BE345" t="s">
        <v>5263</v>
      </c>
      <c r="BF345" t="str">
        <f>HYPERLINK("http://dx.doi.org/10.1038/431414a","http://dx.doi.org/10.1038/431414a")</f>
        <v>http://dx.doi.org/10.1038/431414a</v>
      </c>
      <c r="BG345" t="s">
        <v>74</v>
      </c>
      <c r="BH345" t="s">
        <v>74</v>
      </c>
      <c r="BI345">
        <v>1</v>
      </c>
      <c r="BJ345" t="s">
        <v>381</v>
      </c>
      <c r="BK345" t="s">
        <v>139</v>
      </c>
      <c r="BL345" t="s">
        <v>382</v>
      </c>
      <c r="BM345" t="s">
        <v>5264</v>
      </c>
      <c r="BN345">
        <v>15386002</v>
      </c>
      <c r="BO345" t="s">
        <v>273</v>
      </c>
      <c r="BP345" t="s">
        <v>74</v>
      </c>
      <c r="BQ345" t="s">
        <v>74</v>
      </c>
      <c r="BR345" t="s">
        <v>98</v>
      </c>
      <c r="BS345" t="s">
        <v>5265</v>
      </c>
      <c r="BT345" t="str">
        <f>HYPERLINK("https%3A%2F%2Fwww.webofscience.com%2Fwos%2Fwoscc%2Ffull-record%2FWOS:000224000500030","View Full Record in Web of Science")</f>
        <v>View Full Record in Web of Science</v>
      </c>
    </row>
    <row r="346" spans="1:72" x14ac:dyDescent="0.15">
      <c r="A346" t="s">
        <v>122</v>
      </c>
      <c r="B346" t="s">
        <v>5266</v>
      </c>
      <c r="C346" t="s">
        <v>74</v>
      </c>
      <c r="D346" t="s">
        <v>74</v>
      </c>
      <c r="E346" t="s">
        <v>74</v>
      </c>
      <c r="F346" t="s">
        <v>5266</v>
      </c>
      <c r="G346" t="s">
        <v>74</v>
      </c>
      <c r="H346" t="s">
        <v>74</v>
      </c>
      <c r="I346" t="s">
        <v>5267</v>
      </c>
      <c r="J346" t="s">
        <v>230</v>
      </c>
      <c r="K346" t="s">
        <v>74</v>
      </c>
      <c r="L346" t="s">
        <v>74</v>
      </c>
      <c r="M346" t="s">
        <v>79</v>
      </c>
      <c r="N346" t="s">
        <v>126</v>
      </c>
      <c r="O346" t="s">
        <v>74</v>
      </c>
      <c r="P346" t="s">
        <v>74</v>
      </c>
      <c r="Q346" t="s">
        <v>74</v>
      </c>
      <c r="R346" t="s">
        <v>74</v>
      </c>
      <c r="S346" t="s">
        <v>74</v>
      </c>
      <c r="T346" t="s">
        <v>74</v>
      </c>
      <c r="U346" t="s">
        <v>5268</v>
      </c>
      <c r="V346" t="s">
        <v>5269</v>
      </c>
      <c r="W346" t="s">
        <v>5270</v>
      </c>
      <c r="X346" t="s">
        <v>5271</v>
      </c>
      <c r="Y346" t="s">
        <v>5272</v>
      </c>
      <c r="Z346" t="s">
        <v>5273</v>
      </c>
      <c r="AA346" t="s">
        <v>5274</v>
      </c>
      <c r="AB346" t="s">
        <v>5275</v>
      </c>
      <c r="AC346" t="s">
        <v>74</v>
      </c>
      <c r="AD346" t="s">
        <v>74</v>
      </c>
      <c r="AE346" t="s">
        <v>74</v>
      </c>
      <c r="AF346" t="s">
        <v>74</v>
      </c>
      <c r="AG346">
        <v>22</v>
      </c>
      <c r="AH346">
        <v>476</v>
      </c>
      <c r="AI346">
        <v>528</v>
      </c>
      <c r="AJ346">
        <v>1</v>
      </c>
      <c r="AK346">
        <v>94</v>
      </c>
      <c r="AL346" t="s">
        <v>239</v>
      </c>
      <c r="AM346" t="s">
        <v>240</v>
      </c>
      <c r="AN346" t="s">
        <v>241</v>
      </c>
      <c r="AO346" t="s">
        <v>242</v>
      </c>
      <c r="AP346" t="s">
        <v>341</v>
      </c>
      <c r="AQ346" t="s">
        <v>74</v>
      </c>
      <c r="AR346" t="s">
        <v>243</v>
      </c>
      <c r="AS346" t="s">
        <v>244</v>
      </c>
      <c r="AT346" t="s">
        <v>5276</v>
      </c>
      <c r="AU346">
        <v>2004</v>
      </c>
      <c r="AV346">
        <v>31</v>
      </c>
      <c r="AW346">
        <v>18</v>
      </c>
      <c r="AX346" t="s">
        <v>74</v>
      </c>
      <c r="AY346" t="s">
        <v>74</v>
      </c>
      <c r="AZ346" t="s">
        <v>74</v>
      </c>
      <c r="BA346" t="s">
        <v>74</v>
      </c>
      <c r="BB346" t="s">
        <v>74</v>
      </c>
      <c r="BC346" t="s">
        <v>74</v>
      </c>
      <c r="BD346" t="s">
        <v>5277</v>
      </c>
      <c r="BE346" t="s">
        <v>5278</v>
      </c>
      <c r="BF346" t="str">
        <f>HYPERLINK("http://dx.doi.org/10.1029/2004GL020697","http://dx.doi.org/10.1029/2004GL020697")</f>
        <v>http://dx.doi.org/10.1029/2004GL020697</v>
      </c>
      <c r="BG346" t="s">
        <v>74</v>
      </c>
      <c r="BH346" t="s">
        <v>74</v>
      </c>
      <c r="BI346">
        <v>4</v>
      </c>
      <c r="BJ346" t="s">
        <v>248</v>
      </c>
      <c r="BK346" t="s">
        <v>139</v>
      </c>
      <c r="BL346" t="s">
        <v>249</v>
      </c>
      <c r="BM346" t="s">
        <v>5279</v>
      </c>
      <c r="BN346" t="s">
        <v>74</v>
      </c>
      <c r="BO346" t="s">
        <v>207</v>
      </c>
      <c r="BP346" t="s">
        <v>74</v>
      </c>
      <c r="BQ346" t="s">
        <v>74</v>
      </c>
      <c r="BR346" t="s">
        <v>98</v>
      </c>
      <c r="BS346" t="s">
        <v>5280</v>
      </c>
      <c r="BT346" t="str">
        <f>HYPERLINK("https%3A%2F%2Fwww.webofscience.com%2Fwos%2Fwoscc%2Ffull-record%2FWOS:000224125900003","View Full Record in Web of Science")</f>
        <v>View Full Record in Web of Science</v>
      </c>
    </row>
    <row r="347" spans="1:72" x14ac:dyDescent="0.15">
      <c r="A347" t="s">
        <v>122</v>
      </c>
      <c r="B347" t="s">
        <v>5281</v>
      </c>
      <c r="C347" t="s">
        <v>74</v>
      </c>
      <c r="D347" t="s">
        <v>74</v>
      </c>
      <c r="E347" t="s">
        <v>74</v>
      </c>
      <c r="F347" t="s">
        <v>5281</v>
      </c>
      <c r="G347" t="s">
        <v>74</v>
      </c>
      <c r="H347" t="s">
        <v>74</v>
      </c>
      <c r="I347" t="s">
        <v>5282</v>
      </c>
      <c r="J347" t="s">
        <v>475</v>
      </c>
      <c r="K347" t="s">
        <v>74</v>
      </c>
      <c r="L347" t="s">
        <v>74</v>
      </c>
      <c r="M347" t="s">
        <v>79</v>
      </c>
      <c r="N347" t="s">
        <v>126</v>
      </c>
      <c r="O347" t="s">
        <v>74</v>
      </c>
      <c r="P347" t="s">
        <v>74</v>
      </c>
      <c r="Q347" t="s">
        <v>74</v>
      </c>
      <c r="R347" t="s">
        <v>74</v>
      </c>
      <c r="S347" t="s">
        <v>74</v>
      </c>
      <c r="T347" t="s">
        <v>5283</v>
      </c>
      <c r="U347" t="s">
        <v>5284</v>
      </c>
      <c r="V347" t="s">
        <v>5285</v>
      </c>
      <c r="W347" t="s">
        <v>5286</v>
      </c>
      <c r="X347" t="s">
        <v>5287</v>
      </c>
      <c r="Y347" t="s">
        <v>5288</v>
      </c>
      <c r="Z347" t="s">
        <v>5289</v>
      </c>
      <c r="AA347" t="s">
        <v>5290</v>
      </c>
      <c r="AB347" t="s">
        <v>5291</v>
      </c>
      <c r="AC347" t="s">
        <v>74</v>
      </c>
      <c r="AD347" t="s">
        <v>74</v>
      </c>
      <c r="AE347" t="s">
        <v>74</v>
      </c>
      <c r="AF347" t="s">
        <v>74</v>
      </c>
      <c r="AG347">
        <v>22</v>
      </c>
      <c r="AH347">
        <v>29</v>
      </c>
      <c r="AI347">
        <v>29</v>
      </c>
      <c r="AJ347">
        <v>0</v>
      </c>
      <c r="AK347">
        <v>6</v>
      </c>
      <c r="AL347" t="s">
        <v>239</v>
      </c>
      <c r="AM347" t="s">
        <v>240</v>
      </c>
      <c r="AN347" t="s">
        <v>241</v>
      </c>
      <c r="AO347" t="s">
        <v>484</v>
      </c>
      <c r="AP347" t="s">
        <v>485</v>
      </c>
      <c r="AQ347" t="s">
        <v>74</v>
      </c>
      <c r="AR347" t="s">
        <v>486</v>
      </c>
      <c r="AS347" t="s">
        <v>487</v>
      </c>
      <c r="AT347" t="s">
        <v>5276</v>
      </c>
      <c r="AU347">
        <v>2004</v>
      </c>
      <c r="AV347">
        <v>109</v>
      </c>
      <c r="AW347" t="s">
        <v>5292</v>
      </c>
      <c r="AX347" t="s">
        <v>74</v>
      </c>
      <c r="AY347" t="s">
        <v>74</v>
      </c>
      <c r="AZ347" t="s">
        <v>74</v>
      </c>
      <c r="BA347" t="s">
        <v>74</v>
      </c>
      <c r="BB347" t="s">
        <v>74</v>
      </c>
      <c r="BC347" t="s">
        <v>74</v>
      </c>
      <c r="BD347" t="s">
        <v>5293</v>
      </c>
      <c r="BE347" t="s">
        <v>5294</v>
      </c>
      <c r="BF347" t="str">
        <f>HYPERLINK("http://dx.doi.org/10.1029/2003JA010267","http://dx.doi.org/10.1029/2003JA010267")</f>
        <v>http://dx.doi.org/10.1029/2003JA010267</v>
      </c>
      <c r="BG347" t="s">
        <v>74</v>
      </c>
      <c r="BH347" t="s">
        <v>74</v>
      </c>
      <c r="BI347">
        <v>12</v>
      </c>
      <c r="BJ347" t="s">
        <v>491</v>
      </c>
      <c r="BK347" t="s">
        <v>139</v>
      </c>
      <c r="BL347" t="s">
        <v>491</v>
      </c>
      <c r="BM347" t="s">
        <v>5295</v>
      </c>
      <c r="BN347" t="s">
        <v>74</v>
      </c>
      <c r="BO347" t="s">
        <v>273</v>
      </c>
      <c r="BP347" t="s">
        <v>74</v>
      </c>
      <c r="BQ347" t="s">
        <v>74</v>
      </c>
      <c r="BR347" t="s">
        <v>98</v>
      </c>
      <c r="BS347" t="s">
        <v>5296</v>
      </c>
      <c r="BT347" t="str">
        <f>HYPERLINK("https%3A%2F%2Fwww.webofscience.com%2Fwos%2Fwoscc%2Ffull-record%2FWOS:000224127500001","View Full Record in Web of Science")</f>
        <v>View Full Record in Web of Science</v>
      </c>
    </row>
    <row r="348" spans="1:72" x14ac:dyDescent="0.15">
      <c r="A348" t="s">
        <v>122</v>
      </c>
      <c r="B348" t="s">
        <v>5297</v>
      </c>
      <c r="C348" t="s">
        <v>74</v>
      </c>
      <c r="D348" t="s">
        <v>74</v>
      </c>
      <c r="E348" t="s">
        <v>74</v>
      </c>
      <c r="F348" t="s">
        <v>5297</v>
      </c>
      <c r="G348" t="s">
        <v>74</v>
      </c>
      <c r="H348" t="s">
        <v>74</v>
      </c>
      <c r="I348" t="s">
        <v>5298</v>
      </c>
      <c r="J348" t="s">
        <v>230</v>
      </c>
      <c r="K348" t="s">
        <v>74</v>
      </c>
      <c r="L348" t="s">
        <v>74</v>
      </c>
      <c r="M348" t="s">
        <v>79</v>
      </c>
      <c r="N348" t="s">
        <v>126</v>
      </c>
      <c r="O348" t="s">
        <v>74</v>
      </c>
      <c r="P348" t="s">
        <v>74</v>
      </c>
      <c r="Q348" t="s">
        <v>74</v>
      </c>
      <c r="R348" t="s">
        <v>74</v>
      </c>
      <c r="S348" t="s">
        <v>74</v>
      </c>
      <c r="T348" t="s">
        <v>74</v>
      </c>
      <c r="U348" t="s">
        <v>5299</v>
      </c>
      <c r="V348" t="s">
        <v>5300</v>
      </c>
      <c r="W348" t="s">
        <v>5301</v>
      </c>
      <c r="X348" t="s">
        <v>5302</v>
      </c>
      <c r="Y348" t="s">
        <v>5303</v>
      </c>
      <c r="Z348" t="s">
        <v>5304</v>
      </c>
      <c r="AA348" t="s">
        <v>74</v>
      </c>
      <c r="AB348" t="s">
        <v>74</v>
      </c>
      <c r="AC348" t="s">
        <v>74</v>
      </c>
      <c r="AD348" t="s">
        <v>74</v>
      </c>
      <c r="AE348" t="s">
        <v>74</v>
      </c>
      <c r="AF348" t="s">
        <v>74</v>
      </c>
      <c r="AG348">
        <v>28</v>
      </c>
      <c r="AH348">
        <v>53</v>
      </c>
      <c r="AI348">
        <v>61</v>
      </c>
      <c r="AJ348">
        <v>4</v>
      </c>
      <c r="AK348">
        <v>18</v>
      </c>
      <c r="AL348" t="s">
        <v>239</v>
      </c>
      <c r="AM348" t="s">
        <v>240</v>
      </c>
      <c r="AN348" t="s">
        <v>241</v>
      </c>
      <c r="AO348" t="s">
        <v>242</v>
      </c>
      <c r="AP348" t="s">
        <v>74</v>
      </c>
      <c r="AQ348" t="s">
        <v>74</v>
      </c>
      <c r="AR348" t="s">
        <v>243</v>
      </c>
      <c r="AS348" t="s">
        <v>244</v>
      </c>
      <c r="AT348" t="s">
        <v>5305</v>
      </c>
      <c r="AU348">
        <v>2004</v>
      </c>
      <c r="AV348">
        <v>31</v>
      </c>
      <c r="AW348">
        <v>18</v>
      </c>
      <c r="AX348" t="s">
        <v>74</v>
      </c>
      <c r="AY348" t="s">
        <v>74</v>
      </c>
      <c r="AZ348" t="s">
        <v>74</v>
      </c>
      <c r="BA348" t="s">
        <v>74</v>
      </c>
      <c r="BB348" t="s">
        <v>74</v>
      </c>
      <c r="BC348" t="s">
        <v>74</v>
      </c>
      <c r="BD348" t="s">
        <v>5306</v>
      </c>
      <c r="BE348" t="s">
        <v>5307</v>
      </c>
      <c r="BF348" t="str">
        <f>HYPERLINK("http://dx.doi.org/10.1029/2004GL020511","http://dx.doi.org/10.1029/2004GL020511")</f>
        <v>http://dx.doi.org/10.1029/2004GL020511</v>
      </c>
      <c r="BG348" t="s">
        <v>74</v>
      </c>
      <c r="BH348" t="s">
        <v>74</v>
      </c>
      <c r="BI348">
        <v>4</v>
      </c>
      <c r="BJ348" t="s">
        <v>248</v>
      </c>
      <c r="BK348" t="s">
        <v>139</v>
      </c>
      <c r="BL348" t="s">
        <v>249</v>
      </c>
      <c r="BM348" t="s">
        <v>5308</v>
      </c>
      <c r="BN348" t="s">
        <v>74</v>
      </c>
      <c r="BO348" t="s">
        <v>273</v>
      </c>
      <c r="BP348" t="s">
        <v>74</v>
      </c>
      <c r="BQ348" t="s">
        <v>74</v>
      </c>
      <c r="BR348" t="s">
        <v>98</v>
      </c>
      <c r="BS348" t="s">
        <v>5309</v>
      </c>
      <c r="BT348" t="str">
        <f>HYPERLINK("https%3A%2F%2Fwww.webofscience.com%2Fwos%2Fwoscc%2Ffull-record%2FWOS:000224125800002","View Full Record in Web of Science")</f>
        <v>View Full Record in Web of Science</v>
      </c>
    </row>
    <row r="349" spans="1:72" x14ac:dyDescent="0.15">
      <c r="A349" t="s">
        <v>122</v>
      </c>
      <c r="B349" t="s">
        <v>5310</v>
      </c>
      <c r="C349" t="s">
        <v>74</v>
      </c>
      <c r="D349" t="s">
        <v>74</v>
      </c>
      <c r="E349" t="s">
        <v>74</v>
      </c>
      <c r="F349" t="s">
        <v>5310</v>
      </c>
      <c r="G349" t="s">
        <v>74</v>
      </c>
      <c r="H349" t="s">
        <v>74</v>
      </c>
      <c r="I349" t="s">
        <v>5311</v>
      </c>
      <c r="J349" t="s">
        <v>5312</v>
      </c>
      <c r="K349" t="s">
        <v>74</v>
      </c>
      <c r="L349" t="s">
        <v>74</v>
      </c>
      <c r="M349" t="s">
        <v>79</v>
      </c>
      <c r="N349" t="s">
        <v>126</v>
      </c>
      <c r="O349" t="s">
        <v>74</v>
      </c>
      <c r="P349" t="s">
        <v>74</v>
      </c>
      <c r="Q349" t="s">
        <v>74</v>
      </c>
      <c r="R349" t="s">
        <v>74</v>
      </c>
      <c r="S349" t="s">
        <v>74</v>
      </c>
      <c r="T349" t="s">
        <v>74</v>
      </c>
      <c r="U349" t="s">
        <v>5313</v>
      </c>
      <c r="V349" t="s">
        <v>5314</v>
      </c>
      <c r="W349" t="s">
        <v>5315</v>
      </c>
      <c r="X349" t="s">
        <v>5316</v>
      </c>
      <c r="Y349" t="s">
        <v>5317</v>
      </c>
      <c r="Z349" t="s">
        <v>5318</v>
      </c>
      <c r="AA349" t="s">
        <v>74</v>
      </c>
      <c r="AB349" t="s">
        <v>74</v>
      </c>
      <c r="AC349" t="s">
        <v>74</v>
      </c>
      <c r="AD349" t="s">
        <v>74</v>
      </c>
      <c r="AE349" t="s">
        <v>74</v>
      </c>
      <c r="AF349" t="s">
        <v>74</v>
      </c>
      <c r="AG349">
        <v>69</v>
      </c>
      <c r="AH349">
        <v>9</v>
      </c>
      <c r="AI349">
        <v>11</v>
      </c>
      <c r="AJ349">
        <v>0</v>
      </c>
      <c r="AK349">
        <v>1</v>
      </c>
      <c r="AL349" t="s">
        <v>5319</v>
      </c>
      <c r="AM349" t="s">
        <v>5320</v>
      </c>
      <c r="AN349" t="s">
        <v>5321</v>
      </c>
      <c r="AO349" t="s">
        <v>5322</v>
      </c>
      <c r="AP349" t="s">
        <v>5323</v>
      </c>
      <c r="AQ349" t="s">
        <v>74</v>
      </c>
      <c r="AR349" t="s">
        <v>5312</v>
      </c>
      <c r="AS349" t="s">
        <v>5324</v>
      </c>
      <c r="AT349" t="s">
        <v>5325</v>
      </c>
      <c r="AU349">
        <v>2004</v>
      </c>
      <c r="AV349" t="s">
        <v>74</v>
      </c>
      <c r="AW349">
        <v>649</v>
      </c>
      <c r="AX349" t="s">
        <v>74</v>
      </c>
      <c r="AY349" t="s">
        <v>74</v>
      </c>
      <c r="AZ349" t="s">
        <v>74</v>
      </c>
      <c r="BA349" t="s">
        <v>74</v>
      </c>
      <c r="BB349">
        <v>1</v>
      </c>
      <c r="BC349">
        <v>30</v>
      </c>
      <c r="BD349" t="s">
        <v>74</v>
      </c>
      <c r="BE349" t="s">
        <v>74</v>
      </c>
      <c r="BF349" t="s">
        <v>74</v>
      </c>
      <c r="BG349" t="s">
        <v>74</v>
      </c>
      <c r="BH349" t="s">
        <v>74</v>
      </c>
      <c r="BI349">
        <v>30</v>
      </c>
      <c r="BJ349" t="s">
        <v>205</v>
      </c>
      <c r="BK349" t="s">
        <v>139</v>
      </c>
      <c r="BL349" t="s">
        <v>205</v>
      </c>
      <c r="BM349" t="s">
        <v>5326</v>
      </c>
      <c r="BN349" t="s">
        <v>74</v>
      </c>
      <c r="BO349" t="s">
        <v>74</v>
      </c>
      <c r="BP349" t="s">
        <v>74</v>
      </c>
      <c r="BQ349" t="s">
        <v>74</v>
      </c>
      <c r="BR349" t="s">
        <v>98</v>
      </c>
      <c r="BS349" t="s">
        <v>5327</v>
      </c>
      <c r="BT349" t="str">
        <f>HYPERLINK("https%3A%2F%2Fwww.webofscience.com%2Fwos%2Fwoscc%2Ffull-record%2FWOS:000225434300001","View Full Record in Web of Science")</f>
        <v>View Full Record in Web of Science</v>
      </c>
    </row>
    <row r="350" spans="1:72" x14ac:dyDescent="0.15">
      <c r="A350" t="s">
        <v>122</v>
      </c>
      <c r="B350" t="s">
        <v>5328</v>
      </c>
      <c r="C350" t="s">
        <v>74</v>
      </c>
      <c r="D350" t="s">
        <v>74</v>
      </c>
      <c r="E350" t="s">
        <v>74</v>
      </c>
      <c r="F350" t="s">
        <v>5328</v>
      </c>
      <c r="G350" t="s">
        <v>74</v>
      </c>
      <c r="H350" t="s">
        <v>74</v>
      </c>
      <c r="I350" t="s">
        <v>5329</v>
      </c>
      <c r="J350" t="s">
        <v>277</v>
      </c>
      <c r="K350" t="s">
        <v>74</v>
      </c>
      <c r="L350" t="s">
        <v>74</v>
      </c>
      <c r="M350" t="s">
        <v>79</v>
      </c>
      <c r="N350" t="s">
        <v>126</v>
      </c>
      <c r="O350" t="s">
        <v>74</v>
      </c>
      <c r="P350" t="s">
        <v>74</v>
      </c>
      <c r="Q350" t="s">
        <v>74</v>
      </c>
      <c r="R350" t="s">
        <v>74</v>
      </c>
      <c r="S350" t="s">
        <v>74</v>
      </c>
      <c r="T350" t="s">
        <v>5330</v>
      </c>
      <c r="U350" t="s">
        <v>5331</v>
      </c>
      <c r="V350" t="s">
        <v>5332</v>
      </c>
      <c r="W350" t="s">
        <v>5333</v>
      </c>
      <c r="X350" t="s">
        <v>5334</v>
      </c>
      <c r="Y350" t="s">
        <v>5335</v>
      </c>
      <c r="Z350" t="s">
        <v>5336</v>
      </c>
      <c r="AA350" t="s">
        <v>5337</v>
      </c>
      <c r="AB350" t="s">
        <v>5338</v>
      </c>
      <c r="AC350" t="s">
        <v>74</v>
      </c>
      <c r="AD350" t="s">
        <v>74</v>
      </c>
      <c r="AE350" t="s">
        <v>74</v>
      </c>
      <c r="AF350" t="s">
        <v>74</v>
      </c>
      <c r="AG350">
        <v>31</v>
      </c>
      <c r="AH350">
        <v>22</v>
      </c>
      <c r="AI350">
        <v>22</v>
      </c>
      <c r="AJ350">
        <v>0</v>
      </c>
      <c r="AK350">
        <v>4</v>
      </c>
      <c r="AL350" t="s">
        <v>239</v>
      </c>
      <c r="AM350" t="s">
        <v>240</v>
      </c>
      <c r="AN350" t="s">
        <v>241</v>
      </c>
      <c r="AO350" t="s">
        <v>284</v>
      </c>
      <c r="AP350" t="s">
        <v>285</v>
      </c>
      <c r="AQ350" t="s">
        <v>74</v>
      </c>
      <c r="AR350" t="s">
        <v>286</v>
      </c>
      <c r="AS350" t="s">
        <v>287</v>
      </c>
      <c r="AT350" t="s">
        <v>5339</v>
      </c>
      <c r="AU350">
        <v>2004</v>
      </c>
      <c r="AV350">
        <v>109</v>
      </c>
      <c r="AW350" t="s">
        <v>5239</v>
      </c>
      <c r="AX350" t="s">
        <v>74</v>
      </c>
      <c r="AY350" t="s">
        <v>74</v>
      </c>
      <c r="AZ350" t="s">
        <v>74</v>
      </c>
      <c r="BA350" t="s">
        <v>74</v>
      </c>
      <c r="BB350" t="s">
        <v>74</v>
      </c>
      <c r="BC350" t="s">
        <v>74</v>
      </c>
      <c r="BD350" t="s">
        <v>5340</v>
      </c>
      <c r="BE350" t="s">
        <v>5341</v>
      </c>
      <c r="BF350" t="str">
        <f>HYPERLINK("http://dx.doi.org/10.1029/2004JD004856","http://dx.doi.org/10.1029/2004JD004856")</f>
        <v>http://dx.doi.org/10.1029/2004JD004856</v>
      </c>
      <c r="BG350" t="s">
        <v>74</v>
      </c>
      <c r="BH350" t="s">
        <v>74</v>
      </c>
      <c r="BI350">
        <v>15</v>
      </c>
      <c r="BJ350" t="s">
        <v>291</v>
      </c>
      <c r="BK350" t="s">
        <v>139</v>
      </c>
      <c r="BL350" t="s">
        <v>291</v>
      </c>
      <c r="BM350" t="s">
        <v>5342</v>
      </c>
      <c r="BN350" t="s">
        <v>74</v>
      </c>
      <c r="BO350" t="s">
        <v>273</v>
      </c>
      <c r="BP350" t="s">
        <v>74</v>
      </c>
      <c r="BQ350" t="s">
        <v>74</v>
      </c>
      <c r="BR350" t="s">
        <v>98</v>
      </c>
      <c r="BS350" t="s">
        <v>5343</v>
      </c>
      <c r="BT350" t="str">
        <f>HYPERLINK("https%3A%2F%2Fwww.webofscience.com%2Fwos%2Fwoscc%2Ffull-record%2FWOS:000224123500011","View Full Record in Web of Science")</f>
        <v>View Full Record in Web of Science</v>
      </c>
    </row>
    <row r="351" spans="1:72" x14ac:dyDescent="0.15">
      <c r="A351" t="s">
        <v>122</v>
      </c>
      <c r="B351" t="s">
        <v>5344</v>
      </c>
      <c r="C351" t="s">
        <v>74</v>
      </c>
      <c r="D351" t="s">
        <v>74</v>
      </c>
      <c r="E351" t="s">
        <v>74</v>
      </c>
      <c r="F351" t="s">
        <v>5344</v>
      </c>
      <c r="G351" t="s">
        <v>74</v>
      </c>
      <c r="H351" t="s">
        <v>74</v>
      </c>
      <c r="I351" t="s">
        <v>5345</v>
      </c>
      <c r="J351" t="s">
        <v>3890</v>
      </c>
      <c r="K351" t="s">
        <v>74</v>
      </c>
      <c r="L351" t="s">
        <v>74</v>
      </c>
      <c r="M351" t="s">
        <v>79</v>
      </c>
      <c r="N351" t="s">
        <v>126</v>
      </c>
      <c r="O351" t="s">
        <v>74</v>
      </c>
      <c r="P351" t="s">
        <v>74</v>
      </c>
      <c r="Q351" t="s">
        <v>74</v>
      </c>
      <c r="R351" t="s">
        <v>74</v>
      </c>
      <c r="S351" t="s">
        <v>74</v>
      </c>
      <c r="T351" t="s">
        <v>74</v>
      </c>
      <c r="U351" t="s">
        <v>5346</v>
      </c>
      <c r="V351" t="s">
        <v>5347</v>
      </c>
      <c r="W351" t="s">
        <v>5348</v>
      </c>
      <c r="X351" t="s">
        <v>5349</v>
      </c>
      <c r="Y351" t="s">
        <v>5350</v>
      </c>
      <c r="Z351" t="s">
        <v>5351</v>
      </c>
      <c r="AA351" t="s">
        <v>5352</v>
      </c>
      <c r="AB351" t="s">
        <v>74</v>
      </c>
      <c r="AC351" t="s">
        <v>74</v>
      </c>
      <c r="AD351" t="s">
        <v>74</v>
      </c>
      <c r="AE351" t="s">
        <v>74</v>
      </c>
      <c r="AF351" t="s">
        <v>74</v>
      </c>
      <c r="AG351">
        <v>37</v>
      </c>
      <c r="AH351">
        <v>435</v>
      </c>
      <c r="AI351">
        <v>502</v>
      </c>
      <c r="AJ351">
        <v>3</v>
      </c>
      <c r="AK351">
        <v>119</v>
      </c>
      <c r="AL351" t="s">
        <v>3893</v>
      </c>
      <c r="AM351" t="s">
        <v>240</v>
      </c>
      <c r="AN351" t="s">
        <v>3894</v>
      </c>
      <c r="AO351" t="s">
        <v>3895</v>
      </c>
      <c r="AP351" t="s">
        <v>74</v>
      </c>
      <c r="AQ351" t="s">
        <v>74</v>
      </c>
      <c r="AR351" t="s">
        <v>3890</v>
      </c>
      <c r="AS351" t="s">
        <v>3896</v>
      </c>
      <c r="AT351" t="s">
        <v>5339</v>
      </c>
      <c r="AU351">
        <v>2004</v>
      </c>
      <c r="AV351">
        <v>305</v>
      </c>
      <c r="AW351">
        <v>5691</v>
      </c>
      <c r="AX351" t="s">
        <v>74</v>
      </c>
      <c r="AY351" t="s">
        <v>74</v>
      </c>
      <c r="AZ351" t="s">
        <v>74</v>
      </c>
      <c r="BA351" t="s">
        <v>74</v>
      </c>
      <c r="BB351">
        <v>1766</v>
      </c>
      <c r="BC351">
        <v>1770</v>
      </c>
      <c r="BD351" t="s">
        <v>74</v>
      </c>
      <c r="BE351" t="s">
        <v>5353</v>
      </c>
      <c r="BF351" t="str">
        <f>HYPERLINK("http://dx.doi.org/10.1126/science.1100061","http://dx.doi.org/10.1126/science.1100061")</f>
        <v>http://dx.doi.org/10.1126/science.1100061</v>
      </c>
      <c r="BG351" t="s">
        <v>74</v>
      </c>
      <c r="BH351" t="s">
        <v>74</v>
      </c>
      <c r="BI351">
        <v>5</v>
      </c>
      <c r="BJ351" t="s">
        <v>381</v>
      </c>
      <c r="BK351" t="s">
        <v>139</v>
      </c>
      <c r="BL351" t="s">
        <v>382</v>
      </c>
      <c r="BM351" t="s">
        <v>5354</v>
      </c>
      <c r="BN351">
        <v>15375266</v>
      </c>
      <c r="BO351" t="s">
        <v>74</v>
      </c>
      <c r="BP351" t="s">
        <v>74</v>
      </c>
      <c r="BQ351" t="s">
        <v>74</v>
      </c>
      <c r="BR351" t="s">
        <v>98</v>
      </c>
      <c r="BS351" t="s">
        <v>5355</v>
      </c>
      <c r="BT351" t="str">
        <f>HYPERLINK("https%3A%2F%2Fwww.webofscience.com%2Fwos%2Fwoscc%2Ffull-record%2FWOS:000224039500039","View Full Record in Web of Science")</f>
        <v>View Full Record in Web of Science</v>
      </c>
    </row>
    <row r="352" spans="1:72" x14ac:dyDescent="0.15">
      <c r="A352" t="s">
        <v>122</v>
      </c>
      <c r="B352" t="s">
        <v>5356</v>
      </c>
      <c r="C352" t="s">
        <v>74</v>
      </c>
      <c r="D352" t="s">
        <v>74</v>
      </c>
      <c r="E352" t="s">
        <v>74</v>
      </c>
      <c r="F352" t="s">
        <v>5356</v>
      </c>
      <c r="G352" t="s">
        <v>74</v>
      </c>
      <c r="H352" t="s">
        <v>74</v>
      </c>
      <c r="I352" t="s">
        <v>5357</v>
      </c>
      <c r="J352" t="s">
        <v>643</v>
      </c>
      <c r="K352" t="s">
        <v>74</v>
      </c>
      <c r="L352" t="s">
        <v>74</v>
      </c>
      <c r="M352" t="s">
        <v>79</v>
      </c>
      <c r="N352" t="s">
        <v>126</v>
      </c>
      <c r="O352" t="s">
        <v>74</v>
      </c>
      <c r="P352" t="s">
        <v>74</v>
      </c>
      <c r="Q352" t="s">
        <v>74</v>
      </c>
      <c r="R352" t="s">
        <v>74</v>
      </c>
      <c r="S352" t="s">
        <v>74</v>
      </c>
      <c r="T352" t="s">
        <v>5358</v>
      </c>
      <c r="U352" t="s">
        <v>5359</v>
      </c>
      <c r="V352" t="s">
        <v>5360</v>
      </c>
      <c r="W352" t="s">
        <v>5361</v>
      </c>
      <c r="X352" t="s">
        <v>5362</v>
      </c>
      <c r="Y352" t="s">
        <v>5363</v>
      </c>
      <c r="Z352" t="s">
        <v>5364</v>
      </c>
      <c r="AA352" t="s">
        <v>5365</v>
      </c>
      <c r="AB352" t="s">
        <v>5366</v>
      </c>
      <c r="AC352" t="s">
        <v>74</v>
      </c>
      <c r="AD352" t="s">
        <v>74</v>
      </c>
      <c r="AE352" t="s">
        <v>74</v>
      </c>
      <c r="AF352" t="s">
        <v>74</v>
      </c>
      <c r="AG352">
        <v>54</v>
      </c>
      <c r="AH352">
        <v>229</v>
      </c>
      <c r="AI352">
        <v>254</v>
      </c>
      <c r="AJ352">
        <v>3</v>
      </c>
      <c r="AK352">
        <v>50</v>
      </c>
      <c r="AL352" t="s">
        <v>239</v>
      </c>
      <c r="AM352" t="s">
        <v>240</v>
      </c>
      <c r="AN352" t="s">
        <v>241</v>
      </c>
      <c r="AO352" t="s">
        <v>653</v>
      </c>
      <c r="AP352" t="s">
        <v>654</v>
      </c>
      <c r="AQ352" t="s">
        <v>74</v>
      </c>
      <c r="AR352" t="s">
        <v>655</v>
      </c>
      <c r="AS352" t="s">
        <v>656</v>
      </c>
      <c r="AT352" t="s">
        <v>5367</v>
      </c>
      <c r="AU352">
        <v>2004</v>
      </c>
      <c r="AV352">
        <v>109</v>
      </c>
      <c r="AW352" t="s">
        <v>5209</v>
      </c>
      <c r="AX352" t="s">
        <v>74</v>
      </c>
      <c r="AY352" t="s">
        <v>74</v>
      </c>
      <c r="AZ352" t="s">
        <v>74</v>
      </c>
      <c r="BA352" t="s">
        <v>74</v>
      </c>
      <c r="BB352" t="s">
        <v>74</v>
      </c>
      <c r="BC352" t="s">
        <v>74</v>
      </c>
      <c r="BD352" t="s">
        <v>5368</v>
      </c>
      <c r="BE352" t="s">
        <v>5369</v>
      </c>
      <c r="BF352" t="str">
        <f>HYPERLINK("http://dx.doi.org/10.1029/2004JC002403","http://dx.doi.org/10.1029/2004JC002403")</f>
        <v>http://dx.doi.org/10.1029/2004JC002403</v>
      </c>
      <c r="BG352" t="s">
        <v>74</v>
      </c>
      <c r="BH352" t="s">
        <v>74</v>
      </c>
      <c r="BI352">
        <v>12</v>
      </c>
      <c r="BJ352" t="s">
        <v>660</v>
      </c>
      <c r="BK352" t="s">
        <v>139</v>
      </c>
      <c r="BL352" t="s">
        <v>660</v>
      </c>
      <c r="BM352" t="s">
        <v>5370</v>
      </c>
      <c r="BN352" t="s">
        <v>74</v>
      </c>
      <c r="BO352" t="s">
        <v>329</v>
      </c>
      <c r="BP352" t="s">
        <v>74</v>
      </c>
      <c r="BQ352" t="s">
        <v>74</v>
      </c>
      <c r="BR352" t="s">
        <v>98</v>
      </c>
      <c r="BS352" t="s">
        <v>5371</v>
      </c>
      <c r="BT352" t="str">
        <f>HYPERLINK("https%3A%2F%2Fwww.webofscience.com%2Fwos%2Fwoscc%2Ffull-record%2FWOS:000224124300001","View Full Record in Web of Science")</f>
        <v>View Full Record in Web of Science</v>
      </c>
    </row>
    <row r="353" spans="1:72" x14ac:dyDescent="0.15">
      <c r="A353" t="s">
        <v>122</v>
      </c>
      <c r="B353" t="s">
        <v>5372</v>
      </c>
      <c r="C353" t="s">
        <v>74</v>
      </c>
      <c r="D353" t="s">
        <v>74</v>
      </c>
      <c r="E353" t="s">
        <v>74</v>
      </c>
      <c r="F353" t="s">
        <v>5372</v>
      </c>
      <c r="G353" t="s">
        <v>74</v>
      </c>
      <c r="H353" t="s">
        <v>74</v>
      </c>
      <c r="I353" t="s">
        <v>5373</v>
      </c>
      <c r="J353" t="s">
        <v>365</v>
      </c>
      <c r="K353" t="s">
        <v>74</v>
      </c>
      <c r="L353" t="s">
        <v>74</v>
      </c>
      <c r="M353" t="s">
        <v>79</v>
      </c>
      <c r="N353" t="s">
        <v>126</v>
      </c>
      <c r="O353" t="s">
        <v>74</v>
      </c>
      <c r="P353" t="s">
        <v>74</v>
      </c>
      <c r="Q353" t="s">
        <v>74</v>
      </c>
      <c r="R353" t="s">
        <v>74</v>
      </c>
      <c r="S353" t="s">
        <v>74</v>
      </c>
      <c r="T353" t="s">
        <v>74</v>
      </c>
      <c r="U353" t="s">
        <v>5374</v>
      </c>
      <c r="V353" t="s">
        <v>5375</v>
      </c>
      <c r="W353" t="s">
        <v>5376</v>
      </c>
      <c r="X353" t="s">
        <v>5377</v>
      </c>
      <c r="Y353" t="s">
        <v>5378</v>
      </c>
      <c r="Z353" t="s">
        <v>5379</v>
      </c>
      <c r="AA353" t="s">
        <v>5380</v>
      </c>
      <c r="AB353" t="s">
        <v>5381</v>
      </c>
      <c r="AC353" t="s">
        <v>74</v>
      </c>
      <c r="AD353" t="s">
        <v>74</v>
      </c>
      <c r="AE353" t="s">
        <v>74</v>
      </c>
      <c r="AF353" t="s">
        <v>74</v>
      </c>
      <c r="AG353">
        <v>30</v>
      </c>
      <c r="AH353">
        <v>254</v>
      </c>
      <c r="AI353">
        <v>271</v>
      </c>
      <c r="AJ353">
        <v>0</v>
      </c>
      <c r="AK353">
        <v>16</v>
      </c>
      <c r="AL353" t="s">
        <v>374</v>
      </c>
      <c r="AM353" t="s">
        <v>375</v>
      </c>
      <c r="AN353" t="s">
        <v>376</v>
      </c>
      <c r="AO353" t="s">
        <v>377</v>
      </c>
      <c r="AP353" t="s">
        <v>378</v>
      </c>
      <c r="AQ353" t="s">
        <v>74</v>
      </c>
      <c r="AR353" t="s">
        <v>365</v>
      </c>
      <c r="AS353" t="s">
        <v>379</v>
      </c>
      <c r="AT353" t="s">
        <v>5367</v>
      </c>
      <c r="AU353">
        <v>2004</v>
      </c>
      <c r="AV353">
        <v>431</v>
      </c>
      <c r="AW353">
        <v>7006</v>
      </c>
      <c r="AX353" t="s">
        <v>74</v>
      </c>
      <c r="AY353" t="s">
        <v>74</v>
      </c>
      <c r="AZ353" t="s">
        <v>74</v>
      </c>
      <c r="BA353" t="s">
        <v>74</v>
      </c>
      <c r="BB353">
        <v>278</v>
      </c>
      <c r="BC353">
        <v>281</v>
      </c>
      <c r="BD353" t="s">
        <v>74</v>
      </c>
      <c r="BE353" t="s">
        <v>5382</v>
      </c>
      <c r="BF353" t="str">
        <f>HYPERLINK("http://dx.doi.org/10.1038/nature02929","http://dx.doi.org/10.1038/nature02929")</f>
        <v>http://dx.doi.org/10.1038/nature02929</v>
      </c>
      <c r="BG353" t="s">
        <v>74</v>
      </c>
      <c r="BH353" t="s">
        <v>74</v>
      </c>
      <c r="BI353">
        <v>4</v>
      </c>
      <c r="BJ353" t="s">
        <v>381</v>
      </c>
      <c r="BK353" t="s">
        <v>139</v>
      </c>
      <c r="BL353" t="s">
        <v>382</v>
      </c>
      <c r="BM353" t="s">
        <v>5383</v>
      </c>
      <c r="BN353">
        <v>15372024</v>
      </c>
      <c r="BO353" t="s">
        <v>74</v>
      </c>
      <c r="BP353" t="s">
        <v>74</v>
      </c>
      <c r="BQ353" t="s">
        <v>74</v>
      </c>
      <c r="BR353" t="s">
        <v>98</v>
      </c>
      <c r="BS353" t="s">
        <v>5384</v>
      </c>
      <c r="BT353" t="str">
        <f>HYPERLINK("https%3A%2F%2Fwww.webofscience.com%2Fwos%2Fwoscc%2Ffull-record%2FWOS:000223864000032","View Full Record in Web of Science")</f>
        <v>View Full Record in Web of Science</v>
      </c>
    </row>
    <row r="354" spans="1:72" x14ac:dyDescent="0.15">
      <c r="A354" t="s">
        <v>122</v>
      </c>
      <c r="B354" t="s">
        <v>5385</v>
      </c>
      <c r="C354" t="s">
        <v>74</v>
      </c>
      <c r="D354" t="s">
        <v>74</v>
      </c>
      <c r="E354" t="s">
        <v>74</v>
      </c>
      <c r="F354" t="s">
        <v>5385</v>
      </c>
      <c r="G354" t="s">
        <v>74</v>
      </c>
      <c r="H354" t="s">
        <v>74</v>
      </c>
      <c r="I354" t="s">
        <v>5386</v>
      </c>
      <c r="J354" t="s">
        <v>311</v>
      </c>
      <c r="K354" t="s">
        <v>74</v>
      </c>
      <c r="L354" t="s">
        <v>74</v>
      </c>
      <c r="M354" t="s">
        <v>79</v>
      </c>
      <c r="N354" t="s">
        <v>126</v>
      </c>
      <c r="O354" t="s">
        <v>74</v>
      </c>
      <c r="P354" t="s">
        <v>74</v>
      </c>
      <c r="Q354" t="s">
        <v>74</v>
      </c>
      <c r="R354" t="s">
        <v>74</v>
      </c>
      <c r="S354" t="s">
        <v>74</v>
      </c>
      <c r="T354" t="s">
        <v>5387</v>
      </c>
      <c r="U354" t="s">
        <v>5388</v>
      </c>
      <c r="V354" t="s">
        <v>5389</v>
      </c>
      <c r="W354" t="s">
        <v>5390</v>
      </c>
      <c r="X354" t="s">
        <v>5391</v>
      </c>
      <c r="Y354" t="s">
        <v>5392</v>
      </c>
      <c r="Z354" t="s">
        <v>5393</v>
      </c>
      <c r="AA354" t="s">
        <v>74</v>
      </c>
      <c r="AB354" t="s">
        <v>74</v>
      </c>
      <c r="AC354" t="s">
        <v>74</v>
      </c>
      <c r="AD354" t="s">
        <v>74</v>
      </c>
      <c r="AE354" t="s">
        <v>74</v>
      </c>
      <c r="AF354" t="s">
        <v>74</v>
      </c>
      <c r="AG354">
        <v>56</v>
      </c>
      <c r="AH354">
        <v>16</v>
      </c>
      <c r="AI354">
        <v>20</v>
      </c>
      <c r="AJ354">
        <v>1</v>
      </c>
      <c r="AK354">
        <v>15</v>
      </c>
      <c r="AL354" t="s">
        <v>239</v>
      </c>
      <c r="AM354" t="s">
        <v>240</v>
      </c>
      <c r="AN354" t="s">
        <v>241</v>
      </c>
      <c r="AO354" t="s">
        <v>321</v>
      </c>
      <c r="AP354" t="s">
        <v>439</v>
      </c>
      <c r="AQ354" t="s">
        <v>74</v>
      </c>
      <c r="AR354" t="s">
        <v>311</v>
      </c>
      <c r="AS354" t="s">
        <v>322</v>
      </c>
      <c r="AT354" t="s">
        <v>5367</v>
      </c>
      <c r="AU354">
        <v>2004</v>
      </c>
      <c r="AV354">
        <v>19</v>
      </c>
      <c r="AW354">
        <v>3</v>
      </c>
      <c r="AX354" t="s">
        <v>74</v>
      </c>
      <c r="AY354" t="s">
        <v>74</v>
      </c>
      <c r="AZ354" t="s">
        <v>74</v>
      </c>
      <c r="BA354" t="s">
        <v>74</v>
      </c>
      <c r="BB354" t="s">
        <v>74</v>
      </c>
      <c r="BC354" t="s">
        <v>74</v>
      </c>
      <c r="BD354" t="s">
        <v>5394</v>
      </c>
      <c r="BE354" t="s">
        <v>5395</v>
      </c>
      <c r="BF354" t="str">
        <f>HYPERLINK("http://dx.doi.org/10.1029/2003PA000929","http://dx.doi.org/10.1029/2003PA000929")</f>
        <v>http://dx.doi.org/10.1029/2003PA000929</v>
      </c>
      <c r="BG354" t="s">
        <v>74</v>
      </c>
      <c r="BH354" t="s">
        <v>74</v>
      </c>
      <c r="BI354">
        <v>10</v>
      </c>
      <c r="BJ354" t="s">
        <v>326</v>
      </c>
      <c r="BK354" t="s">
        <v>139</v>
      </c>
      <c r="BL354" t="s">
        <v>327</v>
      </c>
      <c r="BM354" t="s">
        <v>5396</v>
      </c>
      <c r="BN354" t="s">
        <v>74</v>
      </c>
      <c r="BO354" t="s">
        <v>74</v>
      </c>
      <c r="BP354" t="s">
        <v>74</v>
      </c>
      <c r="BQ354" t="s">
        <v>74</v>
      </c>
      <c r="BR354" t="s">
        <v>98</v>
      </c>
      <c r="BS354" t="s">
        <v>5397</v>
      </c>
      <c r="BT354" t="str">
        <f>HYPERLINK("https%3A%2F%2Fwww.webofscience.com%2Fwos%2Fwoscc%2Ffull-record%2FWOS:000224125200001","View Full Record in Web of Science")</f>
        <v>View Full Record in Web of Science</v>
      </c>
    </row>
    <row r="355" spans="1:72" x14ac:dyDescent="0.15">
      <c r="A355" t="s">
        <v>122</v>
      </c>
      <c r="B355" t="s">
        <v>5398</v>
      </c>
      <c r="C355" t="s">
        <v>74</v>
      </c>
      <c r="D355" t="s">
        <v>74</v>
      </c>
      <c r="E355" t="s">
        <v>74</v>
      </c>
      <c r="F355" t="s">
        <v>5398</v>
      </c>
      <c r="G355" t="s">
        <v>74</v>
      </c>
      <c r="H355" t="s">
        <v>74</v>
      </c>
      <c r="I355" t="s">
        <v>5399</v>
      </c>
      <c r="J355" t="s">
        <v>3423</v>
      </c>
      <c r="K355" t="s">
        <v>74</v>
      </c>
      <c r="L355" t="s">
        <v>74</v>
      </c>
      <c r="M355" t="s">
        <v>79</v>
      </c>
      <c r="N355" t="s">
        <v>746</v>
      </c>
      <c r="O355" t="s">
        <v>74</v>
      </c>
      <c r="P355" t="s">
        <v>74</v>
      </c>
      <c r="Q355" t="s">
        <v>74</v>
      </c>
      <c r="R355" t="s">
        <v>74</v>
      </c>
      <c r="S355" t="s">
        <v>74</v>
      </c>
      <c r="T355" t="s">
        <v>74</v>
      </c>
      <c r="U355" t="s">
        <v>74</v>
      </c>
      <c r="V355" t="s">
        <v>74</v>
      </c>
      <c r="W355" t="s">
        <v>74</v>
      </c>
      <c r="X355" t="s">
        <v>74</v>
      </c>
      <c r="Y355" t="s">
        <v>74</v>
      </c>
      <c r="Z355" t="s">
        <v>74</v>
      </c>
      <c r="AA355" t="s">
        <v>74</v>
      </c>
      <c r="AB355" t="s">
        <v>74</v>
      </c>
      <c r="AC355" t="s">
        <v>74</v>
      </c>
      <c r="AD355" t="s">
        <v>74</v>
      </c>
      <c r="AE355" t="s">
        <v>74</v>
      </c>
      <c r="AF355" t="s">
        <v>74</v>
      </c>
      <c r="AG355">
        <v>1</v>
      </c>
      <c r="AH355">
        <v>0</v>
      </c>
      <c r="AI355">
        <v>0</v>
      </c>
      <c r="AJ355">
        <v>0</v>
      </c>
      <c r="AK355">
        <v>0</v>
      </c>
      <c r="AL355" t="s">
        <v>5400</v>
      </c>
      <c r="AM355" t="s">
        <v>613</v>
      </c>
      <c r="AN355" t="s">
        <v>5401</v>
      </c>
      <c r="AO355" t="s">
        <v>3428</v>
      </c>
      <c r="AP355" t="s">
        <v>74</v>
      </c>
      <c r="AQ355" t="s">
        <v>74</v>
      </c>
      <c r="AR355" t="s">
        <v>3429</v>
      </c>
      <c r="AS355" t="s">
        <v>3430</v>
      </c>
      <c r="AT355" t="s">
        <v>5402</v>
      </c>
      <c r="AU355">
        <v>2004</v>
      </c>
      <c r="AV355">
        <v>129</v>
      </c>
      <c r="AW355">
        <v>15</v>
      </c>
      <c r="AX355" t="s">
        <v>74</v>
      </c>
      <c r="AY355" t="s">
        <v>74</v>
      </c>
      <c r="AZ355" t="s">
        <v>74</v>
      </c>
      <c r="BA355" t="s">
        <v>74</v>
      </c>
      <c r="BB355">
        <v>68</v>
      </c>
      <c r="BC355">
        <v>68</v>
      </c>
      <c r="BD355" t="s">
        <v>74</v>
      </c>
      <c r="BE355" t="s">
        <v>74</v>
      </c>
      <c r="BF355" t="s">
        <v>74</v>
      </c>
      <c r="BG355" t="s">
        <v>74</v>
      </c>
      <c r="BH355" t="s">
        <v>74</v>
      </c>
      <c r="BI355">
        <v>1</v>
      </c>
      <c r="BJ355" t="s">
        <v>3431</v>
      </c>
      <c r="BK355" t="s">
        <v>3432</v>
      </c>
      <c r="BL355" t="s">
        <v>3431</v>
      </c>
      <c r="BM355" t="s">
        <v>5403</v>
      </c>
      <c r="BN355" t="s">
        <v>74</v>
      </c>
      <c r="BO355" t="s">
        <v>74</v>
      </c>
      <c r="BP355" t="s">
        <v>74</v>
      </c>
      <c r="BQ355" t="s">
        <v>74</v>
      </c>
      <c r="BR355" t="s">
        <v>98</v>
      </c>
      <c r="BS355" t="s">
        <v>5404</v>
      </c>
      <c r="BT355" t="str">
        <f>HYPERLINK("https%3A%2F%2Fwww.webofscience.com%2Fwos%2Fwoscc%2Ffull-record%2FWOS:000223847700142","View Full Record in Web of Science")</f>
        <v>View Full Record in Web of Science</v>
      </c>
    </row>
    <row r="356" spans="1:72" x14ac:dyDescent="0.15">
      <c r="A356" t="s">
        <v>122</v>
      </c>
      <c r="B356" t="s">
        <v>5405</v>
      </c>
      <c r="C356" t="s">
        <v>74</v>
      </c>
      <c r="D356" t="s">
        <v>74</v>
      </c>
      <c r="E356" t="s">
        <v>74</v>
      </c>
      <c r="F356" t="s">
        <v>5405</v>
      </c>
      <c r="G356" t="s">
        <v>74</v>
      </c>
      <c r="H356" t="s">
        <v>74</v>
      </c>
      <c r="I356" t="s">
        <v>5406</v>
      </c>
      <c r="J356" t="s">
        <v>277</v>
      </c>
      <c r="K356" t="s">
        <v>74</v>
      </c>
      <c r="L356" t="s">
        <v>74</v>
      </c>
      <c r="M356" t="s">
        <v>79</v>
      </c>
      <c r="N356" t="s">
        <v>126</v>
      </c>
      <c r="O356" t="s">
        <v>74</v>
      </c>
      <c r="P356" t="s">
        <v>74</v>
      </c>
      <c r="Q356" t="s">
        <v>74</v>
      </c>
      <c r="R356" t="s">
        <v>74</v>
      </c>
      <c r="S356" t="s">
        <v>74</v>
      </c>
      <c r="T356" t="s">
        <v>74</v>
      </c>
      <c r="U356" t="s">
        <v>5407</v>
      </c>
      <c r="V356" t="s">
        <v>5408</v>
      </c>
      <c r="W356" t="s">
        <v>5409</v>
      </c>
      <c r="X356" t="s">
        <v>5410</v>
      </c>
      <c r="Y356" t="s">
        <v>5411</v>
      </c>
      <c r="Z356" t="s">
        <v>5412</v>
      </c>
      <c r="AA356" t="s">
        <v>5413</v>
      </c>
      <c r="AB356" t="s">
        <v>5414</v>
      </c>
      <c r="AC356" t="s">
        <v>74</v>
      </c>
      <c r="AD356" t="s">
        <v>74</v>
      </c>
      <c r="AE356" t="s">
        <v>74</v>
      </c>
      <c r="AF356" t="s">
        <v>74</v>
      </c>
      <c r="AG356">
        <v>51</v>
      </c>
      <c r="AH356">
        <v>18</v>
      </c>
      <c r="AI356">
        <v>18</v>
      </c>
      <c r="AJ356">
        <v>0</v>
      </c>
      <c r="AK356">
        <v>6</v>
      </c>
      <c r="AL356" t="s">
        <v>239</v>
      </c>
      <c r="AM356" t="s">
        <v>240</v>
      </c>
      <c r="AN356" t="s">
        <v>241</v>
      </c>
      <c r="AO356" t="s">
        <v>284</v>
      </c>
      <c r="AP356" t="s">
        <v>285</v>
      </c>
      <c r="AQ356" t="s">
        <v>74</v>
      </c>
      <c r="AR356" t="s">
        <v>286</v>
      </c>
      <c r="AS356" t="s">
        <v>287</v>
      </c>
      <c r="AT356" t="s">
        <v>5415</v>
      </c>
      <c r="AU356">
        <v>2004</v>
      </c>
      <c r="AV356">
        <v>109</v>
      </c>
      <c r="AW356" t="s">
        <v>5416</v>
      </c>
      <c r="AX356" t="s">
        <v>74</v>
      </c>
      <c r="AY356" t="s">
        <v>74</v>
      </c>
      <c r="AZ356" t="s">
        <v>74</v>
      </c>
      <c r="BA356" t="s">
        <v>74</v>
      </c>
      <c r="BB356" t="s">
        <v>74</v>
      </c>
      <c r="BC356" t="s">
        <v>74</v>
      </c>
      <c r="BD356" t="s">
        <v>5417</v>
      </c>
      <c r="BE356" t="s">
        <v>5418</v>
      </c>
      <c r="BF356" t="str">
        <f>HYPERLINK("http://dx.doi.org/10.1029/2003JD004500","http://dx.doi.org/10.1029/2003JD004500")</f>
        <v>http://dx.doi.org/10.1029/2003JD004500</v>
      </c>
      <c r="BG356" t="s">
        <v>74</v>
      </c>
      <c r="BH356" t="s">
        <v>74</v>
      </c>
      <c r="BI356">
        <v>9</v>
      </c>
      <c r="BJ356" t="s">
        <v>291</v>
      </c>
      <c r="BK356" t="s">
        <v>139</v>
      </c>
      <c r="BL356" t="s">
        <v>291</v>
      </c>
      <c r="BM356" t="s">
        <v>5419</v>
      </c>
      <c r="BN356" t="s">
        <v>74</v>
      </c>
      <c r="BO356" t="s">
        <v>5420</v>
      </c>
      <c r="BP356" t="s">
        <v>74</v>
      </c>
      <c r="BQ356" t="s">
        <v>74</v>
      </c>
      <c r="BR356" t="s">
        <v>98</v>
      </c>
      <c r="BS356" t="s">
        <v>5421</v>
      </c>
      <c r="BT356" t="str">
        <f>HYPERLINK("https%3A%2F%2Fwww.webofscience.com%2Fwos%2Fwoscc%2Ffull-record%2FWOS:000224123300004","View Full Record in Web of Science")</f>
        <v>View Full Record in Web of Science</v>
      </c>
    </row>
    <row r="357" spans="1:72" x14ac:dyDescent="0.15">
      <c r="A357" t="s">
        <v>122</v>
      </c>
      <c r="B357" t="s">
        <v>5422</v>
      </c>
      <c r="C357" t="s">
        <v>74</v>
      </c>
      <c r="D357" t="s">
        <v>74</v>
      </c>
      <c r="E357" t="s">
        <v>74</v>
      </c>
      <c r="F357" t="s">
        <v>5422</v>
      </c>
      <c r="G357" t="s">
        <v>74</v>
      </c>
      <c r="H357" t="s">
        <v>74</v>
      </c>
      <c r="I357" t="s">
        <v>5423</v>
      </c>
      <c r="J357" t="s">
        <v>277</v>
      </c>
      <c r="K357" t="s">
        <v>74</v>
      </c>
      <c r="L357" t="s">
        <v>74</v>
      </c>
      <c r="M357" t="s">
        <v>79</v>
      </c>
      <c r="N357" t="s">
        <v>126</v>
      </c>
      <c r="O357" t="s">
        <v>74</v>
      </c>
      <c r="P357" t="s">
        <v>74</v>
      </c>
      <c r="Q357" t="s">
        <v>74</v>
      </c>
      <c r="R357" t="s">
        <v>74</v>
      </c>
      <c r="S357" t="s">
        <v>74</v>
      </c>
      <c r="T357" t="s">
        <v>5424</v>
      </c>
      <c r="U357" t="s">
        <v>5425</v>
      </c>
      <c r="V357" t="s">
        <v>5426</v>
      </c>
      <c r="W357" t="s">
        <v>5427</v>
      </c>
      <c r="X357" t="s">
        <v>5428</v>
      </c>
      <c r="Y357" t="s">
        <v>5429</v>
      </c>
      <c r="Z357" t="s">
        <v>5430</v>
      </c>
      <c r="AA357" t="s">
        <v>5431</v>
      </c>
      <c r="AB357" t="s">
        <v>5432</v>
      </c>
      <c r="AC357" t="s">
        <v>74</v>
      </c>
      <c r="AD357" t="s">
        <v>74</v>
      </c>
      <c r="AE357" t="s">
        <v>74</v>
      </c>
      <c r="AF357" t="s">
        <v>74</v>
      </c>
      <c r="AG357">
        <v>17</v>
      </c>
      <c r="AH357">
        <v>12</v>
      </c>
      <c r="AI357">
        <v>13</v>
      </c>
      <c r="AJ357">
        <v>0</v>
      </c>
      <c r="AK357">
        <v>5</v>
      </c>
      <c r="AL357" t="s">
        <v>239</v>
      </c>
      <c r="AM357" t="s">
        <v>240</v>
      </c>
      <c r="AN357" t="s">
        <v>241</v>
      </c>
      <c r="AO357" t="s">
        <v>284</v>
      </c>
      <c r="AP357" t="s">
        <v>285</v>
      </c>
      <c r="AQ357" t="s">
        <v>74</v>
      </c>
      <c r="AR357" t="s">
        <v>286</v>
      </c>
      <c r="AS357" t="s">
        <v>287</v>
      </c>
      <c r="AT357" t="s">
        <v>5415</v>
      </c>
      <c r="AU357">
        <v>2004</v>
      </c>
      <c r="AV357">
        <v>109</v>
      </c>
      <c r="AW357" t="s">
        <v>5416</v>
      </c>
      <c r="AX357" t="s">
        <v>74</v>
      </c>
      <c r="AY357" t="s">
        <v>74</v>
      </c>
      <c r="AZ357" t="s">
        <v>74</v>
      </c>
      <c r="BA357" t="s">
        <v>74</v>
      </c>
      <c r="BB357" t="s">
        <v>74</v>
      </c>
      <c r="BC357" t="s">
        <v>74</v>
      </c>
      <c r="BD357" t="s">
        <v>5433</v>
      </c>
      <c r="BE357" t="s">
        <v>5434</v>
      </c>
      <c r="BF357" t="str">
        <f>HYPERLINK("http://dx.doi.org/10.1029/2004JD004961","http://dx.doi.org/10.1029/2004JD004961")</f>
        <v>http://dx.doi.org/10.1029/2004JD004961</v>
      </c>
      <c r="BG357" t="s">
        <v>74</v>
      </c>
      <c r="BH357" t="s">
        <v>74</v>
      </c>
      <c r="BI357">
        <v>14</v>
      </c>
      <c r="BJ357" t="s">
        <v>291</v>
      </c>
      <c r="BK357" t="s">
        <v>139</v>
      </c>
      <c r="BL357" t="s">
        <v>291</v>
      </c>
      <c r="BM357" t="s">
        <v>5419</v>
      </c>
      <c r="BN357" t="s">
        <v>74</v>
      </c>
      <c r="BO357" t="s">
        <v>273</v>
      </c>
      <c r="BP357" t="s">
        <v>74</v>
      </c>
      <c r="BQ357" t="s">
        <v>74</v>
      </c>
      <c r="BR357" t="s">
        <v>98</v>
      </c>
      <c r="BS357" t="s">
        <v>5435</v>
      </c>
      <c r="BT357" t="str">
        <f>HYPERLINK("https%3A%2F%2Fwww.webofscience.com%2Fwos%2Fwoscc%2Ffull-record%2FWOS:000224123300007","View Full Record in Web of Science")</f>
        <v>View Full Record in Web of Science</v>
      </c>
    </row>
    <row r="358" spans="1:72" x14ac:dyDescent="0.15">
      <c r="A358" t="s">
        <v>122</v>
      </c>
      <c r="B358" t="s">
        <v>5436</v>
      </c>
      <c r="C358" t="s">
        <v>74</v>
      </c>
      <c r="D358" t="s">
        <v>74</v>
      </c>
      <c r="E358" t="s">
        <v>74</v>
      </c>
      <c r="F358" t="s">
        <v>5436</v>
      </c>
      <c r="G358" t="s">
        <v>74</v>
      </c>
      <c r="H358" t="s">
        <v>74</v>
      </c>
      <c r="I358" t="s">
        <v>5437</v>
      </c>
      <c r="J358" t="s">
        <v>1156</v>
      </c>
      <c r="K358" t="s">
        <v>74</v>
      </c>
      <c r="L358" t="s">
        <v>74</v>
      </c>
      <c r="M358" t="s">
        <v>79</v>
      </c>
      <c r="N358" t="s">
        <v>126</v>
      </c>
      <c r="O358" t="s">
        <v>74</v>
      </c>
      <c r="P358" t="s">
        <v>74</v>
      </c>
      <c r="Q358" t="s">
        <v>74</v>
      </c>
      <c r="R358" t="s">
        <v>74</v>
      </c>
      <c r="S358" t="s">
        <v>74</v>
      </c>
      <c r="T358" t="s">
        <v>5438</v>
      </c>
      <c r="U358" t="s">
        <v>5439</v>
      </c>
      <c r="V358" t="s">
        <v>5440</v>
      </c>
      <c r="W358" t="s">
        <v>5441</v>
      </c>
      <c r="X358" t="s">
        <v>5442</v>
      </c>
      <c r="Y358" t="s">
        <v>5443</v>
      </c>
      <c r="Z358" t="s">
        <v>5444</v>
      </c>
      <c r="AA358" t="s">
        <v>5445</v>
      </c>
      <c r="AB358" t="s">
        <v>5446</v>
      </c>
      <c r="AC358" t="s">
        <v>74</v>
      </c>
      <c r="AD358" t="s">
        <v>74</v>
      </c>
      <c r="AE358" t="s">
        <v>74</v>
      </c>
      <c r="AF358" t="s">
        <v>74</v>
      </c>
      <c r="AG358">
        <v>29</v>
      </c>
      <c r="AH358">
        <v>15</v>
      </c>
      <c r="AI358">
        <v>15</v>
      </c>
      <c r="AJ358">
        <v>0</v>
      </c>
      <c r="AK358">
        <v>1</v>
      </c>
      <c r="AL358" t="s">
        <v>5447</v>
      </c>
      <c r="AM358" t="s">
        <v>5448</v>
      </c>
      <c r="AN358" t="s">
        <v>5449</v>
      </c>
      <c r="AO358" t="s">
        <v>1169</v>
      </c>
      <c r="AP358" t="s">
        <v>74</v>
      </c>
      <c r="AQ358" t="s">
        <v>74</v>
      </c>
      <c r="AR358" t="s">
        <v>1171</v>
      </c>
      <c r="AS358" t="s">
        <v>1172</v>
      </c>
      <c r="AT358" t="s">
        <v>5450</v>
      </c>
      <c r="AU358">
        <v>2004</v>
      </c>
      <c r="AV358">
        <v>612</v>
      </c>
      <c r="AW358">
        <v>2</v>
      </c>
      <c r="AX358">
        <v>1</v>
      </c>
      <c r="AY358" t="s">
        <v>74</v>
      </c>
      <c r="AZ358" t="s">
        <v>74</v>
      </c>
      <c r="BA358" t="s">
        <v>74</v>
      </c>
      <c r="BB358">
        <v>946</v>
      </c>
      <c r="BC358">
        <v>955</v>
      </c>
      <c r="BD358" t="s">
        <v>74</v>
      </c>
      <c r="BE358" t="s">
        <v>5451</v>
      </c>
      <c r="BF358" t="str">
        <f>HYPERLINK("http://dx.doi.org/10.1086/422168","http://dx.doi.org/10.1086/422168")</f>
        <v>http://dx.doi.org/10.1086/422168</v>
      </c>
      <c r="BG358" t="s">
        <v>74</v>
      </c>
      <c r="BH358" t="s">
        <v>74</v>
      </c>
      <c r="BI358">
        <v>10</v>
      </c>
      <c r="BJ358" t="s">
        <v>491</v>
      </c>
      <c r="BK358" t="s">
        <v>139</v>
      </c>
      <c r="BL358" t="s">
        <v>491</v>
      </c>
      <c r="BM358" t="s">
        <v>5452</v>
      </c>
      <c r="BN358" t="s">
        <v>74</v>
      </c>
      <c r="BO358" t="s">
        <v>273</v>
      </c>
      <c r="BP358" t="s">
        <v>74</v>
      </c>
      <c r="BQ358" t="s">
        <v>74</v>
      </c>
      <c r="BR358" t="s">
        <v>98</v>
      </c>
      <c r="BS358" t="s">
        <v>5453</v>
      </c>
      <c r="BT358" t="str">
        <f>HYPERLINK("https%3A%2F%2Fwww.webofscience.com%2Fwos%2Fwoscc%2Ffull-record%2FWOS:000223791100033","View Full Record in Web of Science")</f>
        <v>View Full Record in Web of Science</v>
      </c>
    </row>
    <row r="359" spans="1:72" x14ac:dyDescent="0.15">
      <c r="A359" t="s">
        <v>122</v>
      </c>
      <c r="B359" t="s">
        <v>5454</v>
      </c>
      <c r="C359" t="s">
        <v>74</v>
      </c>
      <c r="D359" t="s">
        <v>74</v>
      </c>
      <c r="E359" t="s">
        <v>74</v>
      </c>
      <c r="F359" t="s">
        <v>5454</v>
      </c>
      <c r="G359" t="s">
        <v>74</v>
      </c>
      <c r="H359" t="s">
        <v>5455</v>
      </c>
      <c r="I359" t="s">
        <v>5456</v>
      </c>
      <c r="J359" t="s">
        <v>365</v>
      </c>
      <c r="K359" t="s">
        <v>74</v>
      </c>
      <c r="L359" t="s">
        <v>74</v>
      </c>
      <c r="M359" t="s">
        <v>79</v>
      </c>
      <c r="N359" t="s">
        <v>126</v>
      </c>
      <c r="O359" t="s">
        <v>74</v>
      </c>
      <c r="P359" t="s">
        <v>74</v>
      </c>
      <c r="Q359" t="s">
        <v>74</v>
      </c>
      <c r="R359" t="s">
        <v>74</v>
      </c>
      <c r="S359" t="s">
        <v>74</v>
      </c>
      <c r="T359" t="s">
        <v>74</v>
      </c>
      <c r="U359" t="s">
        <v>5457</v>
      </c>
      <c r="V359" t="s">
        <v>5458</v>
      </c>
      <c r="W359" t="s">
        <v>5459</v>
      </c>
      <c r="X359" t="s">
        <v>5460</v>
      </c>
      <c r="Y359" t="s">
        <v>5461</v>
      </c>
      <c r="Z359" t="s">
        <v>5462</v>
      </c>
      <c r="AA359" t="s">
        <v>5463</v>
      </c>
      <c r="AB359" t="s">
        <v>5464</v>
      </c>
      <c r="AC359" t="s">
        <v>74</v>
      </c>
      <c r="AD359" t="s">
        <v>74</v>
      </c>
      <c r="AE359" t="s">
        <v>74</v>
      </c>
      <c r="AF359" t="s">
        <v>74</v>
      </c>
      <c r="AG359">
        <v>50</v>
      </c>
      <c r="AH359">
        <v>2160</v>
      </c>
      <c r="AI359">
        <v>2378</v>
      </c>
      <c r="AJ359">
        <v>20</v>
      </c>
      <c r="AK359">
        <v>536</v>
      </c>
      <c r="AL359" t="s">
        <v>374</v>
      </c>
      <c r="AM359" t="s">
        <v>375</v>
      </c>
      <c r="AN359" t="s">
        <v>376</v>
      </c>
      <c r="AO359" t="s">
        <v>377</v>
      </c>
      <c r="AP359" t="s">
        <v>378</v>
      </c>
      <c r="AQ359" t="s">
        <v>74</v>
      </c>
      <c r="AR359" t="s">
        <v>365</v>
      </c>
      <c r="AS359" t="s">
        <v>379</v>
      </c>
      <c r="AT359" t="s">
        <v>5465</v>
      </c>
      <c r="AU359">
        <v>2004</v>
      </c>
      <c r="AV359">
        <v>431</v>
      </c>
      <c r="AW359">
        <v>7005</v>
      </c>
      <c r="AX359" t="s">
        <v>74</v>
      </c>
      <c r="AY359" t="s">
        <v>74</v>
      </c>
      <c r="AZ359" t="s">
        <v>74</v>
      </c>
      <c r="BA359" t="s">
        <v>74</v>
      </c>
      <c r="BB359">
        <v>147</v>
      </c>
      <c r="BC359">
        <v>151</v>
      </c>
      <c r="BD359" t="s">
        <v>74</v>
      </c>
      <c r="BE359" t="s">
        <v>5466</v>
      </c>
      <c r="BF359" t="str">
        <f>HYPERLINK("http://dx.doi.org/10.1038/nature02805","http://dx.doi.org/10.1038/nature02805")</f>
        <v>http://dx.doi.org/10.1038/nature02805</v>
      </c>
      <c r="BG359" t="s">
        <v>74</v>
      </c>
      <c r="BH359" t="s">
        <v>74</v>
      </c>
      <c r="BI359">
        <v>5</v>
      </c>
      <c r="BJ359" t="s">
        <v>381</v>
      </c>
      <c r="BK359" t="s">
        <v>139</v>
      </c>
      <c r="BL359" t="s">
        <v>382</v>
      </c>
      <c r="BM359" t="s">
        <v>5467</v>
      </c>
      <c r="BN359">
        <v>15356621</v>
      </c>
      <c r="BO359" t="s">
        <v>74</v>
      </c>
      <c r="BP359" t="s">
        <v>74</v>
      </c>
      <c r="BQ359" t="s">
        <v>74</v>
      </c>
      <c r="BR359" t="s">
        <v>98</v>
      </c>
      <c r="BS359" t="s">
        <v>5468</v>
      </c>
      <c r="BT359" t="str">
        <f>HYPERLINK("https%3A%2F%2Fwww.webofscience.com%2Fwos%2Fwoscc%2Ffull-record%2FWOS:000223746000034","View Full Record in Web of Science")</f>
        <v>View Full Record in Web of Science</v>
      </c>
    </row>
    <row r="360" spans="1:72" x14ac:dyDescent="0.15">
      <c r="A360" t="s">
        <v>122</v>
      </c>
      <c r="B360" t="s">
        <v>5469</v>
      </c>
      <c r="C360" t="s">
        <v>74</v>
      </c>
      <c r="D360" t="s">
        <v>74</v>
      </c>
      <c r="E360" t="s">
        <v>74</v>
      </c>
      <c r="F360" t="s">
        <v>5469</v>
      </c>
      <c r="G360" t="s">
        <v>74</v>
      </c>
      <c r="H360" t="s">
        <v>74</v>
      </c>
      <c r="I360" t="s">
        <v>5470</v>
      </c>
      <c r="J360" t="s">
        <v>5471</v>
      </c>
      <c r="K360" t="s">
        <v>74</v>
      </c>
      <c r="L360" t="s">
        <v>74</v>
      </c>
      <c r="M360" t="s">
        <v>79</v>
      </c>
      <c r="N360" t="s">
        <v>126</v>
      </c>
      <c r="O360" t="s">
        <v>74</v>
      </c>
      <c r="P360" t="s">
        <v>74</v>
      </c>
      <c r="Q360" t="s">
        <v>74</v>
      </c>
      <c r="R360" t="s">
        <v>74</v>
      </c>
      <c r="S360" t="s">
        <v>74</v>
      </c>
      <c r="T360" t="s">
        <v>5472</v>
      </c>
      <c r="U360" t="s">
        <v>5473</v>
      </c>
      <c r="V360" t="s">
        <v>5474</v>
      </c>
      <c r="W360" t="s">
        <v>5475</v>
      </c>
      <c r="X360" t="s">
        <v>5476</v>
      </c>
      <c r="Y360" t="s">
        <v>5477</v>
      </c>
      <c r="Z360" t="s">
        <v>371</v>
      </c>
      <c r="AA360" t="s">
        <v>5478</v>
      </c>
      <c r="AB360" t="s">
        <v>5479</v>
      </c>
      <c r="AC360" t="s">
        <v>74</v>
      </c>
      <c r="AD360" t="s">
        <v>74</v>
      </c>
      <c r="AE360" t="s">
        <v>74</v>
      </c>
      <c r="AF360" t="s">
        <v>74</v>
      </c>
      <c r="AG360">
        <v>65</v>
      </c>
      <c r="AH360">
        <v>37</v>
      </c>
      <c r="AI360">
        <v>39</v>
      </c>
      <c r="AJ360">
        <v>0</v>
      </c>
      <c r="AK360">
        <v>11</v>
      </c>
      <c r="AL360" t="s">
        <v>1755</v>
      </c>
      <c r="AM360" t="s">
        <v>1756</v>
      </c>
      <c r="AN360" t="s">
        <v>1757</v>
      </c>
      <c r="AO360" t="s">
        <v>5480</v>
      </c>
      <c r="AP360" t="s">
        <v>5481</v>
      </c>
      <c r="AQ360" t="s">
        <v>74</v>
      </c>
      <c r="AR360" t="s">
        <v>5482</v>
      </c>
      <c r="AS360" t="s">
        <v>5483</v>
      </c>
      <c r="AT360" t="s">
        <v>5484</v>
      </c>
      <c r="AU360">
        <v>2004</v>
      </c>
      <c r="AV360">
        <v>380</v>
      </c>
      <c r="AW360">
        <v>2</v>
      </c>
      <c r="AX360" t="s">
        <v>74</v>
      </c>
      <c r="AY360" t="s">
        <v>74</v>
      </c>
      <c r="AZ360" t="s">
        <v>74</v>
      </c>
      <c r="BA360" t="s">
        <v>74</v>
      </c>
      <c r="BB360">
        <v>258</v>
      </c>
      <c r="BC360">
        <v>268</v>
      </c>
      <c r="BD360" t="s">
        <v>74</v>
      </c>
      <c r="BE360" t="s">
        <v>5485</v>
      </c>
      <c r="BF360" t="str">
        <f>HYPERLINK("http://dx.doi.org/10.1007/s00216-004-2676-0","http://dx.doi.org/10.1007/s00216-004-2676-0")</f>
        <v>http://dx.doi.org/10.1007/s00216-004-2676-0</v>
      </c>
      <c r="BG360" t="s">
        <v>74</v>
      </c>
      <c r="BH360" t="s">
        <v>74</v>
      </c>
      <c r="BI360">
        <v>11</v>
      </c>
      <c r="BJ360" t="s">
        <v>5486</v>
      </c>
      <c r="BK360" t="s">
        <v>139</v>
      </c>
      <c r="BL360" t="s">
        <v>5487</v>
      </c>
      <c r="BM360" t="s">
        <v>5488</v>
      </c>
      <c r="BN360">
        <v>15322788</v>
      </c>
      <c r="BO360" t="s">
        <v>74</v>
      </c>
      <c r="BP360" t="s">
        <v>74</v>
      </c>
      <c r="BQ360" t="s">
        <v>74</v>
      </c>
      <c r="BR360" t="s">
        <v>98</v>
      </c>
      <c r="BS360" t="s">
        <v>5489</v>
      </c>
      <c r="BT360" t="str">
        <f>HYPERLINK("https%3A%2F%2Fwww.webofscience.com%2Fwos%2Fwoscc%2Ffull-record%2FWOS:000224528900012","View Full Record in Web of Science")</f>
        <v>View Full Record in Web of Science</v>
      </c>
    </row>
    <row r="361" spans="1:72" x14ac:dyDescent="0.15">
      <c r="A361" t="s">
        <v>122</v>
      </c>
      <c r="B361" t="s">
        <v>5490</v>
      </c>
      <c r="C361" t="s">
        <v>74</v>
      </c>
      <c r="D361" t="s">
        <v>74</v>
      </c>
      <c r="E361" t="s">
        <v>74</v>
      </c>
      <c r="F361" t="s">
        <v>5490</v>
      </c>
      <c r="G361" t="s">
        <v>74</v>
      </c>
      <c r="H361" t="s">
        <v>74</v>
      </c>
      <c r="I361" t="s">
        <v>5491</v>
      </c>
      <c r="J361" t="s">
        <v>917</v>
      </c>
      <c r="K361" t="s">
        <v>74</v>
      </c>
      <c r="L361" t="s">
        <v>74</v>
      </c>
      <c r="M361" t="s">
        <v>79</v>
      </c>
      <c r="N361" t="s">
        <v>126</v>
      </c>
      <c r="O361" t="s">
        <v>74</v>
      </c>
      <c r="P361" t="s">
        <v>74</v>
      </c>
      <c r="Q361" t="s">
        <v>74</v>
      </c>
      <c r="R361" t="s">
        <v>74</v>
      </c>
      <c r="S361" t="s">
        <v>74</v>
      </c>
      <c r="T361" t="s">
        <v>5492</v>
      </c>
      <c r="U361" t="s">
        <v>5493</v>
      </c>
      <c r="V361" t="s">
        <v>5494</v>
      </c>
      <c r="W361" t="s">
        <v>5495</v>
      </c>
      <c r="X361" t="s">
        <v>5496</v>
      </c>
      <c r="Y361" t="s">
        <v>5497</v>
      </c>
      <c r="Z361" t="s">
        <v>5498</v>
      </c>
      <c r="AA361" t="s">
        <v>74</v>
      </c>
      <c r="AB361" t="s">
        <v>5499</v>
      </c>
      <c r="AC361" t="s">
        <v>74</v>
      </c>
      <c r="AD361" t="s">
        <v>74</v>
      </c>
      <c r="AE361" t="s">
        <v>74</v>
      </c>
      <c r="AF361" t="s">
        <v>74</v>
      </c>
      <c r="AG361">
        <v>45</v>
      </c>
      <c r="AH361">
        <v>17</v>
      </c>
      <c r="AI361">
        <v>19</v>
      </c>
      <c r="AJ361">
        <v>0</v>
      </c>
      <c r="AK361">
        <v>8</v>
      </c>
      <c r="AL361" t="s">
        <v>919</v>
      </c>
      <c r="AM361" t="s">
        <v>613</v>
      </c>
      <c r="AN361" t="s">
        <v>937</v>
      </c>
      <c r="AO361" t="s">
        <v>921</v>
      </c>
      <c r="AP361" t="s">
        <v>938</v>
      </c>
      <c r="AQ361" t="s">
        <v>74</v>
      </c>
      <c r="AR361" t="s">
        <v>922</v>
      </c>
      <c r="AS361" t="s">
        <v>923</v>
      </c>
      <c r="AT361" t="s">
        <v>5484</v>
      </c>
      <c r="AU361">
        <v>2004</v>
      </c>
      <c r="AV361">
        <v>16</v>
      </c>
      <c r="AW361">
        <v>3</v>
      </c>
      <c r="AX361" t="s">
        <v>74</v>
      </c>
      <c r="AY361" t="s">
        <v>74</v>
      </c>
      <c r="AZ361" t="s">
        <v>74</v>
      </c>
      <c r="BA361" t="s">
        <v>74</v>
      </c>
      <c r="BB361">
        <v>219</v>
      </c>
      <c r="BC361">
        <v>226</v>
      </c>
      <c r="BD361" t="s">
        <v>74</v>
      </c>
      <c r="BE361" t="s">
        <v>5500</v>
      </c>
      <c r="BF361" t="str">
        <f>HYPERLINK("http://dx.doi.org/10.1017/S0954102004002020","http://dx.doi.org/10.1017/S0954102004002020")</f>
        <v>http://dx.doi.org/10.1017/S0954102004002020</v>
      </c>
      <c r="BG361" t="s">
        <v>74</v>
      </c>
      <c r="BH361" t="s">
        <v>74</v>
      </c>
      <c r="BI361">
        <v>8</v>
      </c>
      <c r="BJ361" t="s">
        <v>925</v>
      </c>
      <c r="BK361" t="s">
        <v>139</v>
      </c>
      <c r="BL361" t="s">
        <v>926</v>
      </c>
      <c r="BM361" t="s">
        <v>5501</v>
      </c>
      <c r="BN361" t="s">
        <v>74</v>
      </c>
      <c r="BO361" t="s">
        <v>329</v>
      </c>
      <c r="BP361" t="s">
        <v>74</v>
      </c>
      <c r="BQ361" t="s">
        <v>74</v>
      </c>
      <c r="BR361" t="s">
        <v>98</v>
      </c>
      <c r="BS361" t="s">
        <v>5502</v>
      </c>
      <c r="BT361" t="str">
        <f>HYPERLINK("https%3A%2F%2Fwww.webofscience.com%2Fwos%2Fwoscc%2Ffull-record%2FWOS:000224403300001","View Full Record in Web of Science")</f>
        <v>View Full Record in Web of Science</v>
      </c>
    </row>
    <row r="362" spans="1:72" x14ac:dyDescent="0.15">
      <c r="A362" t="s">
        <v>122</v>
      </c>
      <c r="B362" t="s">
        <v>5503</v>
      </c>
      <c r="C362" t="s">
        <v>74</v>
      </c>
      <c r="D362" t="s">
        <v>74</v>
      </c>
      <c r="E362" t="s">
        <v>74</v>
      </c>
      <c r="F362" t="s">
        <v>5503</v>
      </c>
      <c r="G362" t="s">
        <v>74</v>
      </c>
      <c r="H362" t="s">
        <v>74</v>
      </c>
      <c r="I362" t="s">
        <v>5504</v>
      </c>
      <c r="J362" t="s">
        <v>917</v>
      </c>
      <c r="K362" t="s">
        <v>74</v>
      </c>
      <c r="L362" t="s">
        <v>74</v>
      </c>
      <c r="M362" t="s">
        <v>79</v>
      </c>
      <c r="N362" t="s">
        <v>126</v>
      </c>
      <c r="O362" t="s">
        <v>74</v>
      </c>
      <c r="P362" t="s">
        <v>74</v>
      </c>
      <c r="Q362" t="s">
        <v>74</v>
      </c>
      <c r="R362" t="s">
        <v>74</v>
      </c>
      <c r="S362" t="s">
        <v>74</v>
      </c>
      <c r="T362" t="s">
        <v>5505</v>
      </c>
      <c r="U362" t="s">
        <v>5506</v>
      </c>
      <c r="V362" t="s">
        <v>5507</v>
      </c>
      <c r="W362" t="s">
        <v>5508</v>
      </c>
      <c r="X362" t="s">
        <v>5509</v>
      </c>
      <c r="Y362" t="s">
        <v>5510</v>
      </c>
      <c r="Z362" t="s">
        <v>5511</v>
      </c>
      <c r="AA362" t="s">
        <v>74</v>
      </c>
      <c r="AB362" t="s">
        <v>5512</v>
      </c>
      <c r="AC362" t="s">
        <v>74</v>
      </c>
      <c r="AD362" t="s">
        <v>74</v>
      </c>
      <c r="AE362" t="s">
        <v>74</v>
      </c>
      <c r="AF362" t="s">
        <v>74</v>
      </c>
      <c r="AG362">
        <v>63</v>
      </c>
      <c r="AH362">
        <v>21</v>
      </c>
      <c r="AI362">
        <v>25</v>
      </c>
      <c r="AJ362">
        <v>0</v>
      </c>
      <c r="AK362">
        <v>15</v>
      </c>
      <c r="AL362" t="s">
        <v>919</v>
      </c>
      <c r="AM362" t="s">
        <v>613</v>
      </c>
      <c r="AN362" t="s">
        <v>937</v>
      </c>
      <c r="AO362" t="s">
        <v>921</v>
      </c>
      <c r="AP362" t="s">
        <v>938</v>
      </c>
      <c r="AQ362" t="s">
        <v>74</v>
      </c>
      <c r="AR362" t="s">
        <v>922</v>
      </c>
      <c r="AS362" t="s">
        <v>923</v>
      </c>
      <c r="AT362" t="s">
        <v>5484</v>
      </c>
      <c r="AU362">
        <v>2004</v>
      </c>
      <c r="AV362">
        <v>16</v>
      </c>
      <c r="AW362">
        <v>3</v>
      </c>
      <c r="AX362" t="s">
        <v>74</v>
      </c>
      <c r="AY362" t="s">
        <v>74</v>
      </c>
      <c r="AZ362" t="s">
        <v>74</v>
      </c>
      <c r="BA362" t="s">
        <v>74</v>
      </c>
      <c r="BB362">
        <v>227</v>
      </c>
      <c r="BC362">
        <v>237</v>
      </c>
      <c r="BD362" t="s">
        <v>74</v>
      </c>
      <c r="BE362" t="s">
        <v>5513</v>
      </c>
      <c r="BF362" t="str">
        <f>HYPERLINK("http://dx.doi.org/10.1017/S0954102004002032","http://dx.doi.org/10.1017/S0954102004002032")</f>
        <v>http://dx.doi.org/10.1017/S0954102004002032</v>
      </c>
      <c r="BG362" t="s">
        <v>74</v>
      </c>
      <c r="BH362" t="s">
        <v>74</v>
      </c>
      <c r="BI362">
        <v>11</v>
      </c>
      <c r="BJ362" t="s">
        <v>925</v>
      </c>
      <c r="BK362" t="s">
        <v>139</v>
      </c>
      <c r="BL362" t="s">
        <v>926</v>
      </c>
      <c r="BM362" t="s">
        <v>5501</v>
      </c>
      <c r="BN362" t="s">
        <v>74</v>
      </c>
      <c r="BO362" t="s">
        <v>74</v>
      </c>
      <c r="BP362" t="s">
        <v>74</v>
      </c>
      <c r="BQ362" t="s">
        <v>74</v>
      </c>
      <c r="BR362" t="s">
        <v>98</v>
      </c>
      <c r="BS362" t="s">
        <v>5514</v>
      </c>
      <c r="BT362" t="str">
        <f>HYPERLINK("https%3A%2F%2Fwww.webofscience.com%2Fwos%2Fwoscc%2Ffull-record%2FWOS:000224403300002","View Full Record in Web of Science")</f>
        <v>View Full Record in Web of Science</v>
      </c>
    </row>
    <row r="363" spans="1:72" x14ac:dyDescent="0.15">
      <c r="A363" t="s">
        <v>122</v>
      </c>
      <c r="B363" t="s">
        <v>1910</v>
      </c>
      <c r="C363" t="s">
        <v>74</v>
      </c>
      <c r="D363" t="s">
        <v>74</v>
      </c>
      <c r="E363" t="s">
        <v>74</v>
      </c>
      <c r="F363" t="s">
        <v>1910</v>
      </c>
      <c r="G363" t="s">
        <v>74</v>
      </c>
      <c r="H363" t="s">
        <v>74</v>
      </c>
      <c r="I363" t="s">
        <v>5515</v>
      </c>
      <c r="J363" t="s">
        <v>917</v>
      </c>
      <c r="K363" t="s">
        <v>74</v>
      </c>
      <c r="L363" t="s">
        <v>74</v>
      </c>
      <c r="M363" t="s">
        <v>79</v>
      </c>
      <c r="N363" t="s">
        <v>126</v>
      </c>
      <c r="O363" t="s">
        <v>74</v>
      </c>
      <c r="P363" t="s">
        <v>74</v>
      </c>
      <c r="Q363" t="s">
        <v>74</v>
      </c>
      <c r="R363" t="s">
        <v>74</v>
      </c>
      <c r="S363" t="s">
        <v>74</v>
      </c>
      <c r="T363" t="s">
        <v>5516</v>
      </c>
      <c r="U363" t="s">
        <v>74</v>
      </c>
      <c r="V363" t="s">
        <v>5517</v>
      </c>
      <c r="W363" t="s">
        <v>1915</v>
      </c>
      <c r="X363" t="s">
        <v>1916</v>
      </c>
      <c r="Y363" t="s">
        <v>5518</v>
      </c>
      <c r="Z363" t="s">
        <v>1918</v>
      </c>
      <c r="AA363" t="s">
        <v>1919</v>
      </c>
      <c r="AB363" t="s">
        <v>1920</v>
      </c>
      <c r="AC363" t="s">
        <v>74</v>
      </c>
      <c r="AD363" t="s">
        <v>74</v>
      </c>
      <c r="AE363" t="s">
        <v>74</v>
      </c>
      <c r="AF363" t="s">
        <v>74</v>
      </c>
      <c r="AG363">
        <v>37</v>
      </c>
      <c r="AH363">
        <v>4</v>
      </c>
      <c r="AI363">
        <v>4</v>
      </c>
      <c r="AJ363">
        <v>0</v>
      </c>
      <c r="AK363">
        <v>2</v>
      </c>
      <c r="AL363" t="s">
        <v>919</v>
      </c>
      <c r="AM363" t="s">
        <v>613</v>
      </c>
      <c r="AN363" t="s">
        <v>937</v>
      </c>
      <c r="AO363" t="s">
        <v>921</v>
      </c>
      <c r="AP363" t="s">
        <v>938</v>
      </c>
      <c r="AQ363" t="s">
        <v>74</v>
      </c>
      <c r="AR363" t="s">
        <v>922</v>
      </c>
      <c r="AS363" t="s">
        <v>923</v>
      </c>
      <c r="AT363" t="s">
        <v>5484</v>
      </c>
      <c r="AU363">
        <v>2004</v>
      </c>
      <c r="AV363">
        <v>16</v>
      </c>
      <c r="AW363">
        <v>3</v>
      </c>
      <c r="AX363" t="s">
        <v>74</v>
      </c>
      <c r="AY363" t="s">
        <v>74</v>
      </c>
      <c r="AZ363" t="s">
        <v>74</v>
      </c>
      <c r="BA363" t="s">
        <v>74</v>
      </c>
      <c r="BB363">
        <v>239</v>
      </c>
      <c r="BC363">
        <v>252</v>
      </c>
      <c r="BD363" t="s">
        <v>74</v>
      </c>
      <c r="BE363" t="s">
        <v>5519</v>
      </c>
      <c r="BF363" t="str">
        <f>HYPERLINK("http://dx.doi.org/10.1017/S0954102004002093","http://dx.doi.org/10.1017/S0954102004002093")</f>
        <v>http://dx.doi.org/10.1017/S0954102004002093</v>
      </c>
      <c r="BG363" t="s">
        <v>74</v>
      </c>
      <c r="BH363" t="s">
        <v>74</v>
      </c>
      <c r="BI363">
        <v>14</v>
      </c>
      <c r="BJ363" t="s">
        <v>925</v>
      </c>
      <c r="BK363" t="s">
        <v>139</v>
      </c>
      <c r="BL363" t="s">
        <v>926</v>
      </c>
      <c r="BM363" t="s">
        <v>5501</v>
      </c>
      <c r="BN363" t="s">
        <v>74</v>
      </c>
      <c r="BO363" t="s">
        <v>74</v>
      </c>
      <c r="BP363" t="s">
        <v>74</v>
      </c>
      <c r="BQ363" t="s">
        <v>74</v>
      </c>
      <c r="BR363" t="s">
        <v>98</v>
      </c>
      <c r="BS363" t="s">
        <v>5520</v>
      </c>
      <c r="BT363" t="str">
        <f>HYPERLINK("https%3A%2F%2Fwww.webofscience.com%2Fwos%2Fwoscc%2Ffull-record%2FWOS:000224403300003","View Full Record in Web of Science")</f>
        <v>View Full Record in Web of Science</v>
      </c>
    </row>
    <row r="364" spans="1:72" x14ac:dyDescent="0.15">
      <c r="A364" t="s">
        <v>122</v>
      </c>
      <c r="B364" t="s">
        <v>5521</v>
      </c>
      <c r="C364" t="s">
        <v>74</v>
      </c>
      <c r="D364" t="s">
        <v>74</v>
      </c>
      <c r="E364" t="s">
        <v>74</v>
      </c>
      <c r="F364" t="s">
        <v>5521</v>
      </c>
      <c r="G364" t="s">
        <v>74</v>
      </c>
      <c r="H364" t="s">
        <v>74</v>
      </c>
      <c r="I364" t="s">
        <v>5522</v>
      </c>
      <c r="J364" t="s">
        <v>917</v>
      </c>
      <c r="K364" t="s">
        <v>74</v>
      </c>
      <c r="L364" t="s">
        <v>74</v>
      </c>
      <c r="M364" t="s">
        <v>79</v>
      </c>
      <c r="N364" t="s">
        <v>126</v>
      </c>
      <c r="O364" t="s">
        <v>74</v>
      </c>
      <c r="P364" t="s">
        <v>74</v>
      </c>
      <c r="Q364" t="s">
        <v>74</v>
      </c>
      <c r="R364" t="s">
        <v>74</v>
      </c>
      <c r="S364" t="s">
        <v>74</v>
      </c>
      <c r="T364" t="s">
        <v>5523</v>
      </c>
      <c r="U364" t="s">
        <v>5524</v>
      </c>
      <c r="V364" t="s">
        <v>5525</v>
      </c>
      <c r="W364" t="s">
        <v>5526</v>
      </c>
      <c r="X364" t="s">
        <v>5527</v>
      </c>
      <c r="Y364" t="s">
        <v>5528</v>
      </c>
      <c r="Z364" t="s">
        <v>5529</v>
      </c>
      <c r="AA364" t="s">
        <v>5530</v>
      </c>
      <c r="AB364" t="s">
        <v>5531</v>
      </c>
      <c r="AC364" t="s">
        <v>74</v>
      </c>
      <c r="AD364" t="s">
        <v>74</v>
      </c>
      <c r="AE364" t="s">
        <v>74</v>
      </c>
      <c r="AF364" t="s">
        <v>74</v>
      </c>
      <c r="AG364">
        <v>34</v>
      </c>
      <c r="AH364">
        <v>19</v>
      </c>
      <c r="AI364">
        <v>20</v>
      </c>
      <c r="AJ364">
        <v>2</v>
      </c>
      <c r="AK364">
        <v>6</v>
      </c>
      <c r="AL364" t="s">
        <v>919</v>
      </c>
      <c r="AM364" t="s">
        <v>613</v>
      </c>
      <c r="AN364" t="s">
        <v>937</v>
      </c>
      <c r="AO364" t="s">
        <v>921</v>
      </c>
      <c r="AP364" t="s">
        <v>938</v>
      </c>
      <c r="AQ364" t="s">
        <v>74</v>
      </c>
      <c r="AR364" t="s">
        <v>922</v>
      </c>
      <c r="AS364" t="s">
        <v>923</v>
      </c>
      <c r="AT364" t="s">
        <v>5484</v>
      </c>
      <c r="AU364">
        <v>2004</v>
      </c>
      <c r="AV364">
        <v>16</v>
      </c>
      <c r="AW364">
        <v>3</v>
      </c>
      <c r="AX364" t="s">
        <v>74</v>
      </c>
      <c r="AY364" t="s">
        <v>74</v>
      </c>
      <c r="AZ364" t="s">
        <v>74</v>
      </c>
      <c r="BA364" t="s">
        <v>74</v>
      </c>
      <c r="BB364">
        <v>253</v>
      </c>
      <c r="BC364">
        <v>262</v>
      </c>
      <c r="BD364" t="s">
        <v>74</v>
      </c>
      <c r="BE364" t="s">
        <v>5532</v>
      </c>
      <c r="BF364" t="str">
        <f>HYPERLINK("http://dx.doi.org/10.1017/S0954102004002044","http://dx.doi.org/10.1017/S0954102004002044")</f>
        <v>http://dx.doi.org/10.1017/S0954102004002044</v>
      </c>
      <c r="BG364" t="s">
        <v>74</v>
      </c>
      <c r="BH364" t="s">
        <v>74</v>
      </c>
      <c r="BI364">
        <v>10</v>
      </c>
      <c r="BJ364" t="s">
        <v>925</v>
      </c>
      <c r="BK364" t="s">
        <v>139</v>
      </c>
      <c r="BL364" t="s">
        <v>926</v>
      </c>
      <c r="BM364" t="s">
        <v>5501</v>
      </c>
      <c r="BN364" t="s">
        <v>74</v>
      </c>
      <c r="BO364" t="s">
        <v>988</v>
      </c>
      <c r="BP364" t="s">
        <v>74</v>
      </c>
      <c r="BQ364" t="s">
        <v>74</v>
      </c>
      <c r="BR364" t="s">
        <v>98</v>
      </c>
      <c r="BS364" t="s">
        <v>5533</v>
      </c>
      <c r="BT364" t="str">
        <f>HYPERLINK("https%3A%2F%2Fwww.webofscience.com%2Fwos%2Fwoscc%2Ffull-record%2FWOS:000224403300004","View Full Record in Web of Science")</f>
        <v>View Full Record in Web of Science</v>
      </c>
    </row>
    <row r="365" spans="1:72" x14ac:dyDescent="0.15">
      <c r="A365" t="s">
        <v>122</v>
      </c>
      <c r="B365" t="s">
        <v>5534</v>
      </c>
      <c r="C365" t="s">
        <v>74</v>
      </c>
      <c r="D365" t="s">
        <v>74</v>
      </c>
      <c r="E365" t="s">
        <v>74</v>
      </c>
      <c r="F365" t="s">
        <v>5534</v>
      </c>
      <c r="G365" t="s">
        <v>74</v>
      </c>
      <c r="H365" t="s">
        <v>74</v>
      </c>
      <c r="I365" t="s">
        <v>5535</v>
      </c>
      <c r="J365" t="s">
        <v>917</v>
      </c>
      <c r="K365" t="s">
        <v>74</v>
      </c>
      <c r="L365" t="s">
        <v>74</v>
      </c>
      <c r="M365" t="s">
        <v>79</v>
      </c>
      <c r="N365" t="s">
        <v>126</v>
      </c>
      <c r="O365" t="s">
        <v>74</v>
      </c>
      <c r="P365" t="s">
        <v>74</v>
      </c>
      <c r="Q365" t="s">
        <v>74</v>
      </c>
      <c r="R365" t="s">
        <v>74</v>
      </c>
      <c r="S365" t="s">
        <v>74</v>
      </c>
      <c r="T365" t="s">
        <v>5536</v>
      </c>
      <c r="U365" t="s">
        <v>5537</v>
      </c>
      <c r="V365" t="s">
        <v>5538</v>
      </c>
      <c r="W365" t="s">
        <v>5539</v>
      </c>
      <c r="X365" t="s">
        <v>5540</v>
      </c>
      <c r="Y365" t="s">
        <v>5541</v>
      </c>
      <c r="Z365" t="s">
        <v>5542</v>
      </c>
      <c r="AA365" t="s">
        <v>5543</v>
      </c>
      <c r="AB365" t="s">
        <v>5544</v>
      </c>
      <c r="AC365" t="s">
        <v>74</v>
      </c>
      <c r="AD365" t="s">
        <v>74</v>
      </c>
      <c r="AE365" t="s">
        <v>74</v>
      </c>
      <c r="AF365" t="s">
        <v>74</v>
      </c>
      <c r="AG365">
        <v>41</v>
      </c>
      <c r="AH365">
        <v>12</v>
      </c>
      <c r="AI365">
        <v>16</v>
      </c>
      <c r="AJ365">
        <v>0</v>
      </c>
      <c r="AK365">
        <v>11</v>
      </c>
      <c r="AL365" t="s">
        <v>919</v>
      </c>
      <c r="AM365" t="s">
        <v>613</v>
      </c>
      <c r="AN365" t="s">
        <v>937</v>
      </c>
      <c r="AO365" t="s">
        <v>921</v>
      </c>
      <c r="AP365" t="s">
        <v>938</v>
      </c>
      <c r="AQ365" t="s">
        <v>74</v>
      </c>
      <c r="AR365" t="s">
        <v>922</v>
      </c>
      <c r="AS365" t="s">
        <v>923</v>
      </c>
      <c r="AT365" t="s">
        <v>5484</v>
      </c>
      <c r="AU365">
        <v>2004</v>
      </c>
      <c r="AV365">
        <v>16</v>
      </c>
      <c r="AW365">
        <v>3</v>
      </c>
      <c r="AX365" t="s">
        <v>74</v>
      </c>
      <c r="AY365" t="s">
        <v>74</v>
      </c>
      <c r="AZ365" t="s">
        <v>74</v>
      </c>
      <c r="BA365" t="s">
        <v>74</v>
      </c>
      <c r="BB365">
        <v>263</v>
      </c>
      <c r="BC365">
        <v>275</v>
      </c>
      <c r="BD365" t="s">
        <v>74</v>
      </c>
      <c r="BE365" t="s">
        <v>5545</v>
      </c>
      <c r="BF365" t="str">
        <f>HYPERLINK("http://dx.doi.org/10.1017/S095410200400207X","http://dx.doi.org/10.1017/S095410200400207X")</f>
        <v>http://dx.doi.org/10.1017/S095410200400207X</v>
      </c>
      <c r="BG365" t="s">
        <v>74</v>
      </c>
      <c r="BH365" t="s">
        <v>74</v>
      </c>
      <c r="BI365">
        <v>13</v>
      </c>
      <c r="BJ365" t="s">
        <v>925</v>
      </c>
      <c r="BK365" t="s">
        <v>139</v>
      </c>
      <c r="BL365" t="s">
        <v>926</v>
      </c>
      <c r="BM365" t="s">
        <v>5501</v>
      </c>
      <c r="BN365" t="s">
        <v>74</v>
      </c>
      <c r="BO365" t="s">
        <v>251</v>
      </c>
      <c r="BP365" t="s">
        <v>74</v>
      </c>
      <c r="BQ365" t="s">
        <v>74</v>
      </c>
      <c r="BR365" t="s">
        <v>98</v>
      </c>
      <c r="BS365" t="s">
        <v>5546</v>
      </c>
      <c r="BT365" t="str">
        <f>HYPERLINK("https%3A%2F%2Fwww.webofscience.com%2Fwos%2Fwoscc%2Ffull-record%2FWOS:000224403300005","View Full Record in Web of Science")</f>
        <v>View Full Record in Web of Science</v>
      </c>
    </row>
    <row r="366" spans="1:72" x14ac:dyDescent="0.15">
      <c r="A366" t="s">
        <v>122</v>
      </c>
      <c r="B366" t="s">
        <v>5547</v>
      </c>
      <c r="C366" t="s">
        <v>74</v>
      </c>
      <c r="D366" t="s">
        <v>74</v>
      </c>
      <c r="E366" t="s">
        <v>74</v>
      </c>
      <c r="F366" t="s">
        <v>5547</v>
      </c>
      <c r="G366" t="s">
        <v>74</v>
      </c>
      <c r="H366" t="s">
        <v>74</v>
      </c>
      <c r="I366" t="s">
        <v>5548</v>
      </c>
      <c r="J366" t="s">
        <v>917</v>
      </c>
      <c r="K366" t="s">
        <v>74</v>
      </c>
      <c r="L366" t="s">
        <v>74</v>
      </c>
      <c r="M366" t="s">
        <v>79</v>
      </c>
      <c r="N366" t="s">
        <v>126</v>
      </c>
      <c r="O366" t="s">
        <v>74</v>
      </c>
      <c r="P366" t="s">
        <v>74</v>
      </c>
      <c r="Q366" t="s">
        <v>74</v>
      </c>
      <c r="R366" t="s">
        <v>74</v>
      </c>
      <c r="S366" t="s">
        <v>74</v>
      </c>
      <c r="T366" t="s">
        <v>5549</v>
      </c>
      <c r="U366" t="s">
        <v>5550</v>
      </c>
      <c r="V366" t="s">
        <v>5551</v>
      </c>
      <c r="W366" t="s">
        <v>5552</v>
      </c>
      <c r="X366" t="s">
        <v>5553</v>
      </c>
      <c r="Y366" t="s">
        <v>5554</v>
      </c>
      <c r="Z366" t="s">
        <v>5555</v>
      </c>
      <c r="AA366" t="s">
        <v>5556</v>
      </c>
      <c r="AB366" t="s">
        <v>5557</v>
      </c>
      <c r="AC366" t="s">
        <v>74</v>
      </c>
      <c r="AD366" t="s">
        <v>74</v>
      </c>
      <c r="AE366" t="s">
        <v>74</v>
      </c>
      <c r="AF366" t="s">
        <v>74</v>
      </c>
      <c r="AG366">
        <v>34</v>
      </c>
      <c r="AH366">
        <v>42</v>
      </c>
      <c r="AI366">
        <v>43</v>
      </c>
      <c r="AJ366">
        <v>0</v>
      </c>
      <c r="AK366">
        <v>41</v>
      </c>
      <c r="AL366" t="s">
        <v>919</v>
      </c>
      <c r="AM366" t="s">
        <v>613</v>
      </c>
      <c r="AN366" t="s">
        <v>937</v>
      </c>
      <c r="AO366" t="s">
        <v>921</v>
      </c>
      <c r="AP366" t="s">
        <v>938</v>
      </c>
      <c r="AQ366" t="s">
        <v>74</v>
      </c>
      <c r="AR366" t="s">
        <v>922</v>
      </c>
      <c r="AS366" t="s">
        <v>923</v>
      </c>
      <c r="AT366" t="s">
        <v>5484</v>
      </c>
      <c r="AU366">
        <v>2004</v>
      </c>
      <c r="AV366">
        <v>16</v>
      </c>
      <c r="AW366">
        <v>3</v>
      </c>
      <c r="AX366" t="s">
        <v>74</v>
      </c>
      <c r="AY366" t="s">
        <v>74</v>
      </c>
      <c r="AZ366" t="s">
        <v>74</v>
      </c>
      <c r="BA366" t="s">
        <v>74</v>
      </c>
      <c r="BB366">
        <v>277</v>
      </c>
      <c r="BC366">
        <v>291</v>
      </c>
      <c r="BD366" t="s">
        <v>74</v>
      </c>
      <c r="BE366" t="s">
        <v>5558</v>
      </c>
      <c r="BF366" t="str">
        <f>HYPERLINK("http://dx.doi.org/10.1017/S0954102004002111","http://dx.doi.org/10.1017/S0954102004002111")</f>
        <v>http://dx.doi.org/10.1017/S0954102004002111</v>
      </c>
      <c r="BG366" t="s">
        <v>74</v>
      </c>
      <c r="BH366" t="s">
        <v>74</v>
      </c>
      <c r="BI366">
        <v>15</v>
      </c>
      <c r="BJ366" t="s">
        <v>925</v>
      </c>
      <c r="BK366" t="s">
        <v>139</v>
      </c>
      <c r="BL366" t="s">
        <v>926</v>
      </c>
      <c r="BM366" t="s">
        <v>5501</v>
      </c>
      <c r="BN366" t="s">
        <v>74</v>
      </c>
      <c r="BO366" t="s">
        <v>74</v>
      </c>
      <c r="BP366" t="s">
        <v>74</v>
      </c>
      <c r="BQ366" t="s">
        <v>74</v>
      </c>
      <c r="BR366" t="s">
        <v>98</v>
      </c>
      <c r="BS366" t="s">
        <v>5559</v>
      </c>
      <c r="BT366" t="str">
        <f>HYPERLINK("https%3A%2F%2Fwww.webofscience.com%2Fwos%2Fwoscc%2Ffull-record%2FWOS:000224403300006","View Full Record in Web of Science")</f>
        <v>View Full Record in Web of Science</v>
      </c>
    </row>
    <row r="367" spans="1:72" x14ac:dyDescent="0.15">
      <c r="A367" t="s">
        <v>122</v>
      </c>
      <c r="B367" t="s">
        <v>5560</v>
      </c>
      <c r="C367" t="s">
        <v>74</v>
      </c>
      <c r="D367" t="s">
        <v>74</v>
      </c>
      <c r="E367" t="s">
        <v>74</v>
      </c>
      <c r="F367" t="s">
        <v>5560</v>
      </c>
      <c r="G367" t="s">
        <v>74</v>
      </c>
      <c r="H367" t="s">
        <v>74</v>
      </c>
      <c r="I367" t="s">
        <v>5561</v>
      </c>
      <c r="J367" t="s">
        <v>917</v>
      </c>
      <c r="K367" t="s">
        <v>74</v>
      </c>
      <c r="L367" t="s">
        <v>74</v>
      </c>
      <c r="M367" t="s">
        <v>79</v>
      </c>
      <c r="N367" t="s">
        <v>126</v>
      </c>
      <c r="O367" t="s">
        <v>74</v>
      </c>
      <c r="P367" t="s">
        <v>74</v>
      </c>
      <c r="Q367" t="s">
        <v>74</v>
      </c>
      <c r="R367" t="s">
        <v>74</v>
      </c>
      <c r="S367" t="s">
        <v>74</v>
      </c>
      <c r="T367" t="s">
        <v>5562</v>
      </c>
      <c r="U367" t="s">
        <v>5563</v>
      </c>
      <c r="V367" t="s">
        <v>5564</v>
      </c>
      <c r="W367" t="s">
        <v>5565</v>
      </c>
      <c r="X367" t="s">
        <v>5566</v>
      </c>
      <c r="Y367" t="s">
        <v>690</v>
      </c>
      <c r="Z367" t="s">
        <v>5567</v>
      </c>
      <c r="AA367" t="s">
        <v>3516</v>
      </c>
      <c r="AB367" t="s">
        <v>74</v>
      </c>
      <c r="AC367" t="s">
        <v>74</v>
      </c>
      <c r="AD367" t="s">
        <v>74</v>
      </c>
      <c r="AE367" t="s">
        <v>74</v>
      </c>
      <c r="AF367" t="s">
        <v>74</v>
      </c>
      <c r="AG367">
        <v>20</v>
      </c>
      <c r="AH367">
        <v>25</v>
      </c>
      <c r="AI367">
        <v>25</v>
      </c>
      <c r="AJ367">
        <v>0</v>
      </c>
      <c r="AK367">
        <v>15</v>
      </c>
      <c r="AL367" t="s">
        <v>919</v>
      </c>
      <c r="AM367" t="s">
        <v>613</v>
      </c>
      <c r="AN367" t="s">
        <v>937</v>
      </c>
      <c r="AO367" t="s">
        <v>921</v>
      </c>
      <c r="AP367" t="s">
        <v>938</v>
      </c>
      <c r="AQ367" t="s">
        <v>74</v>
      </c>
      <c r="AR367" t="s">
        <v>922</v>
      </c>
      <c r="AS367" t="s">
        <v>923</v>
      </c>
      <c r="AT367" t="s">
        <v>5484</v>
      </c>
      <c r="AU367">
        <v>2004</v>
      </c>
      <c r="AV367">
        <v>16</v>
      </c>
      <c r="AW367">
        <v>3</v>
      </c>
      <c r="AX367" t="s">
        <v>74</v>
      </c>
      <c r="AY367" t="s">
        <v>74</v>
      </c>
      <c r="AZ367" t="s">
        <v>74</v>
      </c>
      <c r="BA367" t="s">
        <v>74</v>
      </c>
      <c r="BB367">
        <v>293</v>
      </c>
      <c r="BC367">
        <v>297</v>
      </c>
      <c r="BD367" t="s">
        <v>74</v>
      </c>
      <c r="BE367" t="s">
        <v>5568</v>
      </c>
      <c r="BF367" t="str">
        <f>HYPERLINK("http://dx.doi.org/10.1017/S095410200400210X","http://dx.doi.org/10.1017/S095410200400210X")</f>
        <v>http://dx.doi.org/10.1017/S095410200400210X</v>
      </c>
      <c r="BG367" t="s">
        <v>74</v>
      </c>
      <c r="BH367" t="s">
        <v>74</v>
      </c>
      <c r="BI367">
        <v>5</v>
      </c>
      <c r="BJ367" t="s">
        <v>925</v>
      </c>
      <c r="BK367" t="s">
        <v>139</v>
      </c>
      <c r="BL367" t="s">
        <v>926</v>
      </c>
      <c r="BM367" t="s">
        <v>5501</v>
      </c>
      <c r="BN367" t="s">
        <v>74</v>
      </c>
      <c r="BO367" t="s">
        <v>251</v>
      </c>
      <c r="BP367" t="s">
        <v>74</v>
      </c>
      <c r="BQ367" t="s">
        <v>74</v>
      </c>
      <c r="BR367" t="s">
        <v>98</v>
      </c>
      <c r="BS367" t="s">
        <v>5569</v>
      </c>
      <c r="BT367" t="str">
        <f>HYPERLINK("https%3A%2F%2Fwww.webofscience.com%2Fwos%2Fwoscc%2Ffull-record%2FWOS:000224403300007","View Full Record in Web of Science")</f>
        <v>View Full Record in Web of Science</v>
      </c>
    </row>
    <row r="368" spans="1:72" x14ac:dyDescent="0.15">
      <c r="A368" t="s">
        <v>122</v>
      </c>
      <c r="B368" t="s">
        <v>5570</v>
      </c>
      <c r="C368" t="s">
        <v>74</v>
      </c>
      <c r="D368" t="s">
        <v>74</v>
      </c>
      <c r="E368" t="s">
        <v>74</v>
      </c>
      <c r="F368" t="s">
        <v>5570</v>
      </c>
      <c r="G368" t="s">
        <v>74</v>
      </c>
      <c r="H368" t="s">
        <v>74</v>
      </c>
      <c r="I368" t="s">
        <v>5571</v>
      </c>
      <c r="J368" t="s">
        <v>917</v>
      </c>
      <c r="K368" t="s">
        <v>74</v>
      </c>
      <c r="L368" t="s">
        <v>74</v>
      </c>
      <c r="M368" t="s">
        <v>79</v>
      </c>
      <c r="N368" t="s">
        <v>126</v>
      </c>
      <c r="O368" t="s">
        <v>74</v>
      </c>
      <c r="P368" t="s">
        <v>74</v>
      </c>
      <c r="Q368" t="s">
        <v>74</v>
      </c>
      <c r="R368" t="s">
        <v>74</v>
      </c>
      <c r="S368" t="s">
        <v>74</v>
      </c>
      <c r="T368" t="s">
        <v>5572</v>
      </c>
      <c r="U368" t="s">
        <v>5573</v>
      </c>
      <c r="V368" t="s">
        <v>5574</v>
      </c>
      <c r="W368" t="s">
        <v>5575</v>
      </c>
      <c r="X368" t="s">
        <v>5576</v>
      </c>
      <c r="Y368" t="s">
        <v>5577</v>
      </c>
      <c r="Z368" t="s">
        <v>74</v>
      </c>
      <c r="AA368" t="s">
        <v>5530</v>
      </c>
      <c r="AB368" t="s">
        <v>5578</v>
      </c>
      <c r="AC368" t="s">
        <v>74</v>
      </c>
      <c r="AD368" t="s">
        <v>74</v>
      </c>
      <c r="AE368" t="s">
        <v>74</v>
      </c>
      <c r="AF368" t="s">
        <v>74</v>
      </c>
      <c r="AG368">
        <v>67</v>
      </c>
      <c r="AH368">
        <v>87</v>
      </c>
      <c r="AI368">
        <v>94</v>
      </c>
      <c r="AJ368">
        <v>1</v>
      </c>
      <c r="AK368">
        <v>20</v>
      </c>
      <c r="AL368" t="s">
        <v>919</v>
      </c>
      <c r="AM368" t="s">
        <v>613</v>
      </c>
      <c r="AN368" t="s">
        <v>937</v>
      </c>
      <c r="AO368" t="s">
        <v>921</v>
      </c>
      <c r="AP368" t="s">
        <v>938</v>
      </c>
      <c r="AQ368" t="s">
        <v>74</v>
      </c>
      <c r="AR368" t="s">
        <v>922</v>
      </c>
      <c r="AS368" t="s">
        <v>923</v>
      </c>
      <c r="AT368" t="s">
        <v>5484</v>
      </c>
      <c r="AU368">
        <v>2004</v>
      </c>
      <c r="AV368">
        <v>16</v>
      </c>
      <c r="AW368">
        <v>3</v>
      </c>
      <c r="AX368" t="s">
        <v>74</v>
      </c>
      <c r="AY368" t="s">
        <v>74</v>
      </c>
      <c r="AZ368" t="s">
        <v>74</v>
      </c>
      <c r="BA368" t="s">
        <v>74</v>
      </c>
      <c r="BB368">
        <v>299</v>
      </c>
      <c r="BC368">
        <v>305</v>
      </c>
      <c r="BD368" t="s">
        <v>74</v>
      </c>
      <c r="BE368" t="s">
        <v>5579</v>
      </c>
      <c r="BF368" t="str">
        <f>HYPERLINK("http://dx.doi.org/10.1017/S0954102004002135","http://dx.doi.org/10.1017/S0954102004002135")</f>
        <v>http://dx.doi.org/10.1017/S0954102004002135</v>
      </c>
      <c r="BG368" t="s">
        <v>74</v>
      </c>
      <c r="BH368" t="s">
        <v>74</v>
      </c>
      <c r="BI368">
        <v>7</v>
      </c>
      <c r="BJ368" t="s">
        <v>925</v>
      </c>
      <c r="BK368" t="s">
        <v>139</v>
      </c>
      <c r="BL368" t="s">
        <v>926</v>
      </c>
      <c r="BM368" t="s">
        <v>5501</v>
      </c>
      <c r="BN368" t="s">
        <v>74</v>
      </c>
      <c r="BO368" t="s">
        <v>74</v>
      </c>
      <c r="BP368" t="s">
        <v>74</v>
      </c>
      <c r="BQ368" t="s">
        <v>74</v>
      </c>
      <c r="BR368" t="s">
        <v>98</v>
      </c>
      <c r="BS368" t="s">
        <v>5580</v>
      </c>
      <c r="BT368" t="str">
        <f>HYPERLINK("https%3A%2F%2Fwww.webofscience.com%2Fwos%2Fwoscc%2Ffull-record%2FWOS:000224403300008","View Full Record in Web of Science")</f>
        <v>View Full Record in Web of Science</v>
      </c>
    </row>
    <row r="369" spans="1:72" x14ac:dyDescent="0.15">
      <c r="A369" t="s">
        <v>122</v>
      </c>
      <c r="B369" t="s">
        <v>5581</v>
      </c>
      <c r="C369" t="s">
        <v>74</v>
      </c>
      <c r="D369" t="s">
        <v>74</v>
      </c>
      <c r="E369" t="s">
        <v>74</v>
      </c>
      <c r="F369" t="s">
        <v>5581</v>
      </c>
      <c r="G369" t="s">
        <v>74</v>
      </c>
      <c r="H369" t="s">
        <v>74</v>
      </c>
      <c r="I369" t="s">
        <v>5582</v>
      </c>
      <c r="J369" t="s">
        <v>917</v>
      </c>
      <c r="K369" t="s">
        <v>74</v>
      </c>
      <c r="L369" t="s">
        <v>74</v>
      </c>
      <c r="M369" t="s">
        <v>79</v>
      </c>
      <c r="N369" t="s">
        <v>126</v>
      </c>
      <c r="O369" t="s">
        <v>74</v>
      </c>
      <c r="P369" t="s">
        <v>74</v>
      </c>
      <c r="Q369" t="s">
        <v>74</v>
      </c>
      <c r="R369" t="s">
        <v>74</v>
      </c>
      <c r="S369" t="s">
        <v>74</v>
      </c>
      <c r="T369" t="s">
        <v>5583</v>
      </c>
      <c r="U369" t="s">
        <v>5584</v>
      </c>
      <c r="V369" t="s">
        <v>5585</v>
      </c>
      <c r="W369" t="s">
        <v>5586</v>
      </c>
      <c r="X369" t="s">
        <v>5587</v>
      </c>
      <c r="Y369" t="s">
        <v>5588</v>
      </c>
      <c r="Z369" t="s">
        <v>5589</v>
      </c>
      <c r="AA369" t="s">
        <v>5590</v>
      </c>
      <c r="AB369" t="s">
        <v>5591</v>
      </c>
      <c r="AC369" t="s">
        <v>74</v>
      </c>
      <c r="AD369" t="s">
        <v>74</v>
      </c>
      <c r="AE369" t="s">
        <v>74</v>
      </c>
      <c r="AF369" t="s">
        <v>74</v>
      </c>
      <c r="AG369">
        <v>24</v>
      </c>
      <c r="AH369">
        <v>16</v>
      </c>
      <c r="AI369">
        <v>19</v>
      </c>
      <c r="AJ369">
        <v>0</v>
      </c>
      <c r="AK369">
        <v>2</v>
      </c>
      <c r="AL369" t="s">
        <v>919</v>
      </c>
      <c r="AM369" t="s">
        <v>613</v>
      </c>
      <c r="AN369" t="s">
        <v>937</v>
      </c>
      <c r="AO369" t="s">
        <v>921</v>
      </c>
      <c r="AP369" t="s">
        <v>938</v>
      </c>
      <c r="AQ369" t="s">
        <v>74</v>
      </c>
      <c r="AR369" t="s">
        <v>922</v>
      </c>
      <c r="AS369" t="s">
        <v>923</v>
      </c>
      <c r="AT369" t="s">
        <v>5484</v>
      </c>
      <c r="AU369">
        <v>2004</v>
      </c>
      <c r="AV369">
        <v>16</v>
      </c>
      <c r="AW369">
        <v>3</v>
      </c>
      <c r="AX369" t="s">
        <v>74</v>
      </c>
      <c r="AY369" t="s">
        <v>74</v>
      </c>
      <c r="AZ369" t="s">
        <v>74</v>
      </c>
      <c r="BA369" t="s">
        <v>74</v>
      </c>
      <c r="BB369">
        <v>307</v>
      </c>
      <c r="BC369">
        <v>312</v>
      </c>
      <c r="BD369" t="s">
        <v>74</v>
      </c>
      <c r="BE369" t="s">
        <v>5592</v>
      </c>
      <c r="BF369" t="str">
        <f>HYPERLINK("http://dx.doi.org/10.1017/S0954102004002081","http://dx.doi.org/10.1017/S0954102004002081")</f>
        <v>http://dx.doi.org/10.1017/S0954102004002081</v>
      </c>
      <c r="BG369" t="s">
        <v>74</v>
      </c>
      <c r="BH369" t="s">
        <v>74</v>
      </c>
      <c r="BI369">
        <v>6</v>
      </c>
      <c r="BJ369" t="s">
        <v>925</v>
      </c>
      <c r="BK369" t="s">
        <v>139</v>
      </c>
      <c r="BL369" t="s">
        <v>926</v>
      </c>
      <c r="BM369" t="s">
        <v>5501</v>
      </c>
      <c r="BN369" t="s">
        <v>74</v>
      </c>
      <c r="BO369" t="s">
        <v>74</v>
      </c>
      <c r="BP369" t="s">
        <v>74</v>
      </c>
      <c r="BQ369" t="s">
        <v>74</v>
      </c>
      <c r="BR369" t="s">
        <v>98</v>
      </c>
      <c r="BS369" t="s">
        <v>5593</v>
      </c>
      <c r="BT369" t="str">
        <f>HYPERLINK("https%3A%2F%2Fwww.webofscience.com%2Fwos%2Fwoscc%2Ffull-record%2FWOS:000224403300009","View Full Record in Web of Science")</f>
        <v>View Full Record in Web of Science</v>
      </c>
    </row>
    <row r="370" spans="1:72" x14ac:dyDescent="0.15">
      <c r="A370" t="s">
        <v>122</v>
      </c>
      <c r="B370" t="s">
        <v>5594</v>
      </c>
      <c r="C370" t="s">
        <v>74</v>
      </c>
      <c r="D370" t="s">
        <v>74</v>
      </c>
      <c r="E370" t="s">
        <v>74</v>
      </c>
      <c r="F370" t="s">
        <v>5594</v>
      </c>
      <c r="G370" t="s">
        <v>74</v>
      </c>
      <c r="H370" t="s">
        <v>74</v>
      </c>
      <c r="I370" t="s">
        <v>5595</v>
      </c>
      <c r="J370" t="s">
        <v>917</v>
      </c>
      <c r="K370" t="s">
        <v>74</v>
      </c>
      <c r="L370" t="s">
        <v>74</v>
      </c>
      <c r="M370" t="s">
        <v>79</v>
      </c>
      <c r="N370" t="s">
        <v>126</v>
      </c>
      <c r="O370" t="s">
        <v>74</v>
      </c>
      <c r="P370" t="s">
        <v>74</v>
      </c>
      <c r="Q370" t="s">
        <v>74</v>
      </c>
      <c r="R370" t="s">
        <v>74</v>
      </c>
      <c r="S370" t="s">
        <v>74</v>
      </c>
      <c r="T370" t="s">
        <v>5596</v>
      </c>
      <c r="U370" t="s">
        <v>5597</v>
      </c>
      <c r="V370" t="s">
        <v>5598</v>
      </c>
      <c r="W370" t="s">
        <v>5599</v>
      </c>
      <c r="X370" t="s">
        <v>4970</v>
      </c>
      <c r="Y370" t="s">
        <v>5600</v>
      </c>
      <c r="Z370" t="s">
        <v>5601</v>
      </c>
      <c r="AA370" t="s">
        <v>74</v>
      </c>
      <c r="AB370" t="s">
        <v>5602</v>
      </c>
      <c r="AC370" t="s">
        <v>74</v>
      </c>
      <c r="AD370" t="s">
        <v>74</v>
      </c>
      <c r="AE370" t="s">
        <v>74</v>
      </c>
      <c r="AF370" t="s">
        <v>74</v>
      </c>
      <c r="AG370">
        <v>21</v>
      </c>
      <c r="AH370">
        <v>12</v>
      </c>
      <c r="AI370">
        <v>16</v>
      </c>
      <c r="AJ370">
        <v>3</v>
      </c>
      <c r="AK370">
        <v>13</v>
      </c>
      <c r="AL370" t="s">
        <v>919</v>
      </c>
      <c r="AM370" t="s">
        <v>613</v>
      </c>
      <c r="AN370" t="s">
        <v>937</v>
      </c>
      <c r="AO370" t="s">
        <v>921</v>
      </c>
      <c r="AP370" t="s">
        <v>938</v>
      </c>
      <c r="AQ370" t="s">
        <v>74</v>
      </c>
      <c r="AR370" t="s">
        <v>922</v>
      </c>
      <c r="AS370" t="s">
        <v>923</v>
      </c>
      <c r="AT370" t="s">
        <v>5484</v>
      </c>
      <c r="AU370">
        <v>2004</v>
      </c>
      <c r="AV370">
        <v>16</v>
      </c>
      <c r="AW370">
        <v>3</v>
      </c>
      <c r="AX370" t="s">
        <v>74</v>
      </c>
      <c r="AY370" t="s">
        <v>74</v>
      </c>
      <c r="AZ370" t="s">
        <v>74</v>
      </c>
      <c r="BA370" t="s">
        <v>74</v>
      </c>
      <c r="BB370">
        <v>313</v>
      </c>
      <c r="BC370">
        <v>318</v>
      </c>
      <c r="BD370" t="s">
        <v>74</v>
      </c>
      <c r="BE370" t="s">
        <v>5603</v>
      </c>
      <c r="BF370" t="str">
        <f>HYPERLINK("http://dx.doi.org/10.1017/S0954102004002123","http://dx.doi.org/10.1017/S0954102004002123")</f>
        <v>http://dx.doi.org/10.1017/S0954102004002123</v>
      </c>
      <c r="BG370" t="s">
        <v>74</v>
      </c>
      <c r="BH370" t="s">
        <v>74</v>
      </c>
      <c r="BI370">
        <v>6</v>
      </c>
      <c r="BJ370" t="s">
        <v>925</v>
      </c>
      <c r="BK370" t="s">
        <v>139</v>
      </c>
      <c r="BL370" t="s">
        <v>926</v>
      </c>
      <c r="BM370" t="s">
        <v>5501</v>
      </c>
      <c r="BN370" t="s">
        <v>74</v>
      </c>
      <c r="BO370" t="s">
        <v>74</v>
      </c>
      <c r="BP370" t="s">
        <v>74</v>
      </c>
      <c r="BQ370" t="s">
        <v>74</v>
      </c>
      <c r="BR370" t="s">
        <v>98</v>
      </c>
      <c r="BS370" t="s">
        <v>5604</v>
      </c>
      <c r="BT370" t="str">
        <f>HYPERLINK("https%3A%2F%2Fwww.webofscience.com%2Fwos%2Fwoscc%2Ffull-record%2FWOS:000224403300010","View Full Record in Web of Science")</f>
        <v>View Full Record in Web of Science</v>
      </c>
    </row>
    <row r="371" spans="1:72" x14ac:dyDescent="0.15">
      <c r="A371" t="s">
        <v>122</v>
      </c>
      <c r="B371" t="s">
        <v>5605</v>
      </c>
      <c r="C371" t="s">
        <v>74</v>
      </c>
      <c r="D371" t="s">
        <v>74</v>
      </c>
      <c r="E371" t="s">
        <v>74</v>
      </c>
      <c r="F371" t="s">
        <v>5605</v>
      </c>
      <c r="G371" t="s">
        <v>74</v>
      </c>
      <c r="H371" t="s">
        <v>74</v>
      </c>
      <c r="I371" t="s">
        <v>5606</v>
      </c>
      <c r="J371" t="s">
        <v>917</v>
      </c>
      <c r="K371" t="s">
        <v>74</v>
      </c>
      <c r="L371" t="s">
        <v>74</v>
      </c>
      <c r="M371" t="s">
        <v>79</v>
      </c>
      <c r="N371" t="s">
        <v>126</v>
      </c>
      <c r="O371" t="s">
        <v>74</v>
      </c>
      <c r="P371" t="s">
        <v>74</v>
      </c>
      <c r="Q371" t="s">
        <v>74</v>
      </c>
      <c r="R371" t="s">
        <v>74</v>
      </c>
      <c r="S371" t="s">
        <v>74</v>
      </c>
      <c r="T371" t="s">
        <v>5607</v>
      </c>
      <c r="U371" t="s">
        <v>5608</v>
      </c>
      <c r="V371" t="s">
        <v>5609</v>
      </c>
      <c r="W371" t="s">
        <v>5610</v>
      </c>
      <c r="X371" t="s">
        <v>5611</v>
      </c>
      <c r="Y371" t="s">
        <v>5612</v>
      </c>
      <c r="Z371" t="s">
        <v>5613</v>
      </c>
      <c r="AA371" t="s">
        <v>74</v>
      </c>
      <c r="AB371" t="s">
        <v>74</v>
      </c>
      <c r="AC371" t="s">
        <v>74</v>
      </c>
      <c r="AD371" t="s">
        <v>74</v>
      </c>
      <c r="AE371" t="s">
        <v>74</v>
      </c>
      <c r="AF371" t="s">
        <v>74</v>
      </c>
      <c r="AG371">
        <v>55</v>
      </c>
      <c r="AH371">
        <v>7</v>
      </c>
      <c r="AI371">
        <v>8</v>
      </c>
      <c r="AJ371">
        <v>0</v>
      </c>
      <c r="AK371">
        <v>2</v>
      </c>
      <c r="AL371" t="s">
        <v>919</v>
      </c>
      <c r="AM371" t="s">
        <v>613</v>
      </c>
      <c r="AN371" t="s">
        <v>937</v>
      </c>
      <c r="AO371" t="s">
        <v>921</v>
      </c>
      <c r="AP371" t="s">
        <v>938</v>
      </c>
      <c r="AQ371" t="s">
        <v>74</v>
      </c>
      <c r="AR371" t="s">
        <v>922</v>
      </c>
      <c r="AS371" t="s">
        <v>923</v>
      </c>
      <c r="AT371" t="s">
        <v>5484</v>
      </c>
      <c r="AU371">
        <v>2004</v>
      </c>
      <c r="AV371">
        <v>16</v>
      </c>
      <c r="AW371">
        <v>3</v>
      </c>
      <c r="AX371" t="s">
        <v>74</v>
      </c>
      <c r="AY371" t="s">
        <v>74</v>
      </c>
      <c r="AZ371" t="s">
        <v>74</v>
      </c>
      <c r="BA371" t="s">
        <v>74</v>
      </c>
      <c r="BB371">
        <v>319</v>
      </c>
      <c r="BC371">
        <v>327</v>
      </c>
      <c r="BD371" t="s">
        <v>74</v>
      </c>
      <c r="BE371" t="s">
        <v>5614</v>
      </c>
      <c r="BF371" t="str">
        <f>HYPERLINK("http://dx.doi.org/10.1017/S0954102004002159","http://dx.doi.org/10.1017/S0954102004002159")</f>
        <v>http://dx.doi.org/10.1017/S0954102004002159</v>
      </c>
      <c r="BG371" t="s">
        <v>74</v>
      </c>
      <c r="BH371" t="s">
        <v>74</v>
      </c>
      <c r="BI371">
        <v>9</v>
      </c>
      <c r="BJ371" t="s">
        <v>925</v>
      </c>
      <c r="BK371" t="s">
        <v>139</v>
      </c>
      <c r="BL371" t="s">
        <v>926</v>
      </c>
      <c r="BM371" t="s">
        <v>5501</v>
      </c>
      <c r="BN371" t="s">
        <v>74</v>
      </c>
      <c r="BO371" t="s">
        <v>74</v>
      </c>
      <c r="BP371" t="s">
        <v>74</v>
      </c>
      <c r="BQ371" t="s">
        <v>74</v>
      </c>
      <c r="BR371" t="s">
        <v>98</v>
      </c>
      <c r="BS371" t="s">
        <v>5615</v>
      </c>
      <c r="BT371" t="str">
        <f>HYPERLINK("https%3A%2F%2Fwww.webofscience.com%2Fwos%2Fwoscc%2Ffull-record%2FWOS:000224403300011","View Full Record in Web of Science")</f>
        <v>View Full Record in Web of Science</v>
      </c>
    </row>
    <row r="372" spans="1:72" x14ac:dyDescent="0.15">
      <c r="A372" t="s">
        <v>122</v>
      </c>
      <c r="B372" t="s">
        <v>5616</v>
      </c>
      <c r="C372" t="s">
        <v>74</v>
      </c>
      <c r="D372" t="s">
        <v>74</v>
      </c>
      <c r="E372" t="s">
        <v>74</v>
      </c>
      <c r="F372" t="s">
        <v>5616</v>
      </c>
      <c r="G372" t="s">
        <v>74</v>
      </c>
      <c r="H372" t="s">
        <v>74</v>
      </c>
      <c r="I372" t="s">
        <v>5617</v>
      </c>
      <c r="J372" t="s">
        <v>917</v>
      </c>
      <c r="K372" t="s">
        <v>74</v>
      </c>
      <c r="L372" t="s">
        <v>74</v>
      </c>
      <c r="M372" t="s">
        <v>79</v>
      </c>
      <c r="N372" t="s">
        <v>126</v>
      </c>
      <c r="O372" t="s">
        <v>74</v>
      </c>
      <c r="P372" t="s">
        <v>74</v>
      </c>
      <c r="Q372" t="s">
        <v>74</v>
      </c>
      <c r="R372" t="s">
        <v>74</v>
      </c>
      <c r="S372" t="s">
        <v>74</v>
      </c>
      <c r="T372" t="s">
        <v>5618</v>
      </c>
      <c r="U372" t="s">
        <v>5619</v>
      </c>
      <c r="V372" t="s">
        <v>5620</v>
      </c>
      <c r="W372" t="s">
        <v>5621</v>
      </c>
      <c r="X372" t="s">
        <v>5622</v>
      </c>
      <c r="Y372" t="s">
        <v>5623</v>
      </c>
      <c r="Z372" t="s">
        <v>5624</v>
      </c>
      <c r="AA372" t="s">
        <v>5625</v>
      </c>
      <c r="AB372" t="s">
        <v>5626</v>
      </c>
      <c r="AC372" t="s">
        <v>74</v>
      </c>
      <c r="AD372" t="s">
        <v>74</v>
      </c>
      <c r="AE372" t="s">
        <v>74</v>
      </c>
      <c r="AF372" t="s">
        <v>74</v>
      </c>
      <c r="AG372">
        <v>41</v>
      </c>
      <c r="AH372">
        <v>10</v>
      </c>
      <c r="AI372">
        <v>10</v>
      </c>
      <c r="AJ372">
        <v>0</v>
      </c>
      <c r="AK372">
        <v>2</v>
      </c>
      <c r="AL372" t="s">
        <v>919</v>
      </c>
      <c r="AM372" t="s">
        <v>613</v>
      </c>
      <c r="AN372" t="s">
        <v>937</v>
      </c>
      <c r="AO372" t="s">
        <v>921</v>
      </c>
      <c r="AP372" t="s">
        <v>938</v>
      </c>
      <c r="AQ372" t="s">
        <v>74</v>
      </c>
      <c r="AR372" t="s">
        <v>922</v>
      </c>
      <c r="AS372" t="s">
        <v>923</v>
      </c>
      <c r="AT372" t="s">
        <v>5484</v>
      </c>
      <c r="AU372">
        <v>2004</v>
      </c>
      <c r="AV372">
        <v>16</v>
      </c>
      <c r="AW372">
        <v>3</v>
      </c>
      <c r="AX372" t="s">
        <v>74</v>
      </c>
      <c r="AY372" t="s">
        <v>74</v>
      </c>
      <c r="AZ372" t="s">
        <v>74</v>
      </c>
      <c r="BA372" t="s">
        <v>74</v>
      </c>
      <c r="BB372">
        <v>329</v>
      </c>
      <c r="BC372">
        <v>338</v>
      </c>
      <c r="BD372" t="s">
        <v>74</v>
      </c>
      <c r="BE372" t="s">
        <v>5627</v>
      </c>
      <c r="BF372" t="str">
        <f>HYPERLINK("http://dx.doi.org/10.1017/S0954102004002160","http://dx.doi.org/10.1017/S0954102004002160")</f>
        <v>http://dx.doi.org/10.1017/S0954102004002160</v>
      </c>
      <c r="BG372" t="s">
        <v>74</v>
      </c>
      <c r="BH372" t="s">
        <v>74</v>
      </c>
      <c r="BI372">
        <v>10</v>
      </c>
      <c r="BJ372" t="s">
        <v>925</v>
      </c>
      <c r="BK372" t="s">
        <v>139</v>
      </c>
      <c r="BL372" t="s">
        <v>926</v>
      </c>
      <c r="BM372" t="s">
        <v>5501</v>
      </c>
      <c r="BN372" t="s">
        <v>74</v>
      </c>
      <c r="BO372" t="s">
        <v>74</v>
      </c>
      <c r="BP372" t="s">
        <v>74</v>
      </c>
      <c r="BQ372" t="s">
        <v>74</v>
      </c>
      <c r="BR372" t="s">
        <v>98</v>
      </c>
      <c r="BS372" t="s">
        <v>5628</v>
      </c>
      <c r="BT372" t="str">
        <f>HYPERLINK("https%3A%2F%2Fwww.webofscience.com%2Fwos%2Fwoscc%2Ffull-record%2FWOS:000224403300012","View Full Record in Web of Science")</f>
        <v>View Full Record in Web of Science</v>
      </c>
    </row>
    <row r="373" spans="1:72" x14ac:dyDescent="0.15">
      <c r="A373" t="s">
        <v>122</v>
      </c>
      <c r="B373" t="s">
        <v>5629</v>
      </c>
      <c r="C373" t="s">
        <v>74</v>
      </c>
      <c r="D373" t="s">
        <v>74</v>
      </c>
      <c r="E373" t="s">
        <v>74</v>
      </c>
      <c r="F373" t="s">
        <v>5629</v>
      </c>
      <c r="G373" t="s">
        <v>74</v>
      </c>
      <c r="H373" t="s">
        <v>74</v>
      </c>
      <c r="I373" t="s">
        <v>5630</v>
      </c>
      <c r="J373" t="s">
        <v>917</v>
      </c>
      <c r="K373" t="s">
        <v>74</v>
      </c>
      <c r="L373" t="s">
        <v>74</v>
      </c>
      <c r="M373" t="s">
        <v>79</v>
      </c>
      <c r="N373" t="s">
        <v>126</v>
      </c>
      <c r="O373" t="s">
        <v>74</v>
      </c>
      <c r="P373" t="s">
        <v>74</v>
      </c>
      <c r="Q373" t="s">
        <v>74</v>
      </c>
      <c r="R373" t="s">
        <v>74</v>
      </c>
      <c r="S373" t="s">
        <v>74</v>
      </c>
      <c r="T373" t="s">
        <v>5631</v>
      </c>
      <c r="U373" t="s">
        <v>5632</v>
      </c>
      <c r="V373" t="s">
        <v>5633</v>
      </c>
      <c r="W373" t="s">
        <v>5634</v>
      </c>
      <c r="X373" t="s">
        <v>5635</v>
      </c>
      <c r="Y373" t="s">
        <v>5636</v>
      </c>
      <c r="Z373" t="s">
        <v>74</v>
      </c>
      <c r="AA373" t="s">
        <v>74</v>
      </c>
      <c r="AB373" t="s">
        <v>74</v>
      </c>
      <c r="AC373" t="s">
        <v>74</v>
      </c>
      <c r="AD373" t="s">
        <v>74</v>
      </c>
      <c r="AE373" t="s">
        <v>74</v>
      </c>
      <c r="AF373" t="s">
        <v>74</v>
      </c>
      <c r="AG373">
        <v>29</v>
      </c>
      <c r="AH373">
        <v>31</v>
      </c>
      <c r="AI373">
        <v>35</v>
      </c>
      <c r="AJ373">
        <v>0</v>
      </c>
      <c r="AK373">
        <v>1</v>
      </c>
      <c r="AL373" t="s">
        <v>919</v>
      </c>
      <c r="AM373" t="s">
        <v>613</v>
      </c>
      <c r="AN373" t="s">
        <v>937</v>
      </c>
      <c r="AO373" t="s">
        <v>921</v>
      </c>
      <c r="AP373" t="s">
        <v>938</v>
      </c>
      <c r="AQ373" t="s">
        <v>74</v>
      </c>
      <c r="AR373" t="s">
        <v>922</v>
      </c>
      <c r="AS373" t="s">
        <v>923</v>
      </c>
      <c r="AT373" t="s">
        <v>5484</v>
      </c>
      <c r="AU373">
        <v>2004</v>
      </c>
      <c r="AV373">
        <v>16</v>
      </c>
      <c r="AW373">
        <v>3</v>
      </c>
      <c r="AX373" t="s">
        <v>74</v>
      </c>
      <c r="AY373" t="s">
        <v>74</v>
      </c>
      <c r="AZ373" t="s">
        <v>74</v>
      </c>
      <c r="BA373" t="s">
        <v>74</v>
      </c>
      <c r="BB373">
        <v>339</v>
      </c>
      <c r="BC373">
        <v>344</v>
      </c>
      <c r="BD373" t="s">
        <v>74</v>
      </c>
      <c r="BE373" t="s">
        <v>5637</v>
      </c>
      <c r="BF373" t="str">
        <f>HYPERLINK("http://dx.doi.org/10.1017/S0954102004002147","http://dx.doi.org/10.1017/S0954102004002147")</f>
        <v>http://dx.doi.org/10.1017/S0954102004002147</v>
      </c>
      <c r="BG373" t="s">
        <v>74</v>
      </c>
      <c r="BH373" t="s">
        <v>74</v>
      </c>
      <c r="BI373">
        <v>6</v>
      </c>
      <c r="BJ373" t="s">
        <v>925</v>
      </c>
      <c r="BK373" t="s">
        <v>139</v>
      </c>
      <c r="BL373" t="s">
        <v>926</v>
      </c>
      <c r="BM373" t="s">
        <v>5501</v>
      </c>
      <c r="BN373" t="s">
        <v>74</v>
      </c>
      <c r="BO373" t="s">
        <v>988</v>
      </c>
      <c r="BP373" t="s">
        <v>74</v>
      </c>
      <c r="BQ373" t="s">
        <v>74</v>
      </c>
      <c r="BR373" t="s">
        <v>98</v>
      </c>
      <c r="BS373" t="s">
        <v>5638</v>
      </c>
      <c r="BT373" t="str">
        <f>HYPERLINK("https%3A%2F%2Fwww.webofscience.com%2Fwos%2Fwoscc%2Ffull-record%2FWOS:000224403300013","View Full Record in Web of Science")</f>
        <v>View Full Record in Web of Science</v>
      </c>
    </row>
    <row r="374" spans="1:72" x14ac:dyDescent="0.15">
      <c r="A374" t="s">
        <v>122</v>
      </c>
      <c r="B374" t="s">
        <v>5639</v>
      </c>
      <c r="C374" t="s">
        <v>74</v>
      </c>
      <c r="D374" t="s">
        <v>74</v>
      </c>
      <c r="E374" t="s">
        <v>74</v>
      </c>
      <c r="F374" t="s">
        <v>5639</v>
      </c>
      <c r="G374" t="s">
        <v>74</v>
      </c>
      <c r="H374" t="s">
        <v>74</v>
      </c>
      <c r="I374" t="s">
        <v>5640</v>
      </c>
      <c r="J374" t="s">
        <v>917</v>
      </c>
      <c r="K374" t="s">
        <v>74</v>
      </c>
      <c r="L374" t="s">
        <v>74</v>
      </c>
      <c r="M374" t="s">
        <v>79</v>
      </c>
      <c r="N374" t="s">
        <v>126</v>
      </c>
      <c r="O374" t="s">
        <v>74</v>
      </c>
      <c r="P374" t="s">
        <v>74</v>
      </c>
      <c r="Q374" t="s">
        <v>74</v>
      </c>
      <c r="R374" t="s">
        <v>74</v>
      </c>
      <c r="S374" t="s">
        <v>74</v>
      </c>
      <c r="T374" t="s">
        <v>5641</v>
      </c>
      <c r="U374" t="s">
        <v>74</v>
      </c>
      <c r="V374" t="s">
        <v>5642</v>
      </c>
      <c r="W374" t="s">
        <v>5643</v>
      </c>
      <c r="X374" t="s">
        <v>5635</v>
      </c>
      <c r="Y374" t="s">
        <v>5644</v>
      </c>
      <c r="Z374" t="s">
        <v>74</v>
      </c>
      <c r="AA374" t="s">
        <v>74</v>
      </c>
      <c r="AB374" t="s">
        <v>74</v>
      </c>
      <c r="AC374" t="s">
        <v>74</v>
      </c>
      <c r="AD374" t="s">
        <v>74</v>
      </c>
      <c r="AE374" t="s">
        <v>74</v>
      </c>
      <c r="AF374" t="s">
        <v>74</v>
      </c>
      <c r="AG374">
        <v>22</v>
      </c>
      <c r="AH374">
        <v>6</v>
      </c>
      <c r="AI374">
        <v>6</v>
      </c>
      <c r="AJ374">
        <v>0</v>
      </c>
      <c r="AK374">
        <v>4</v>
      </c>
      <c r="AL374" t="s">
        <v>919</v>
      </c>
      <c r="AM374" t="s">
        <v>613</v>
      </c>
      <c r="AN374" t="s">
        <v>937</v>
      </c>
      <c r="AO374" t="s">
        <v>921</v>
      </c>
      <c r="AP374" t="s">
        <v>938</v>
      </c>
      <c r="AQ374" t="s">
        <v>74</v>
      </c>
      <c r="AR374" t="s">
        <v>922</v>
      </c>
      <c r="AS374" t="s">
        <v>923</v>
      </c>
      <c r="AT374" t="s">
        <v>5484</v>
      </c>
      <c r="AU374">
        <v>2004</v>
      </c>
      <c r="AV374">
        <v>16</v>
      </c>
      <c r="AW374">
        <v>3</v>
      </c>
      <c r="AX374" t="s">
        <v>74</v>
      </c>
      <c r="AY374" t="s">
        <v>74</v>
      </c>
      <c r="AZ374" t="s">
        <v>74</v>
      </c>
      <c r="BA374" t="s">
        <v>74</v>
      </c>
      <c r="BB374">
        <v>345</v>
      </c>
      <c r="BC374">
        <v>354</v>
      </c>
      <c r="BD374" t="s">
        <v>74</v>
      </c>
      <c r="BE374" t="s">
        <v>5645</v>
      </c>
      <c r="BF374" t="str">
        <f>HYPERLINK("http://dx.doi.org/10.1017/S0954102004002056","http://dx.doi.org/10.1017/S0954102004002056")</f>
        <v>http://dx.doi.org/10.1017/S0954102004002056</v>
      </c>
      <c r="BG374" t="s">
        <v>74</v>
      </c>
      <c r="BH374" t="s">
        <v>74</v>
      </c>
      <c r="BI374">
        <v>10</v>
      </c>
      <c r="BJ374" t="s">
        <v>925</v>
      </c>
      <c r="BK374" t="s">
        <v>139</v>
      </c>
      <c r="BL374" t="s">
        <v>926</v>
      </c>
      <c r="BM374" t="s">
        <v>5501</v>
      </c>
      <c r="BN374" t="s">
        <v>74</v>
      </c>
      <c r="BO374" t="s">
        <v>988</v>
      </c>
      <c r="BP374" t="s">
        <v>74</v>
      </c>
      <c r="BQ374" t="s">
        <v>74</v>
      </c>
      <c r="BR374" t="s">
        <v>98</v>
      </c>
      <c r="BS374" t="s">
        <v>5646</v>
      </c>
      <c r="BT374" t="str">
        <f>HYPERLINK("https%3A%2F%2Fwww.webofscience.com%2Fwos%2Fwoscc%2Ffull-record%2FWOS:000224403300014","View Full Record in Web of Science")</f>
        <v>View Full Record in Web of Science</v>
      </c>
    </row>
    <row r="375" spans="1:72" x14ac:dyDescent="0.15">
      <c r="A375" t="s">
        <v>122</v>
      </c>
      <c r="B375" t="s">
        <v>5639</v>
      </c>
      <c r="C375" t="s">
        <v>74</v>
      </c>
      <c r="D375" t="s">
        <v>74</v>
      </c>
      <c r="E375" t="s">
        <v>74</v>
      </c>
      <c r="F375" t="s">
        <v>5639</v>
      </c>
      <c r="G375" t="s">
        <v>74</v>
      </c>
      <c r="H375" t="s">
        <v>74</v>
      </c>
      <c r="I375" t="s">
        <v>5647</v>
      </c>
      <c r="J375" t="s">
        <v>917</v>
      </c>
      <c r="K375" t="s">
        <v>74</v>
      </c>
      <c r="L375" t="s">
        <v>74</v>
      </c>
      <c r="M375" t="s">
        <v>79</v>
      </c>
      <c r="N375" t="s">
        <v>126</v>
      </c>
      <c r="O375" t="s">
        <v>74</v>
      </c>
      <c r="P375" t="s">
        <v>74</v>
      </c>
      <c r="Q375" t="s">
        <v>74</v>
      </c>
      <c r="R375" t="s">
        <v>74</v>
      </c>
      <c r="S375" t="s">
        <v>74</v>
      </c>
      <c r="T375" t="s">
        <v>5648</v>
      </c>
      <c r="U375" t="s">
        <v>5649</v>
      </c>
      <c r="V375" t="s">
        <v>5650</v>
      </c>
      <c r="W375" t="s">
        <v>5643</v>
      </c>
      <c r="X375" t="s">
        <v>5635</v>
      </c>
      <c r="Y375" t="s">
        <v>5644</v>
      </c>
      <c r="Z375" t="s">
        <v>74</v>
      </c>
      <c r="AA375" t="s">
        <v>74</v>
      </c>
      <c r="AB375" t="s">
        <v>74</v>
      </c>
      <c r="AC375" t="s">
        <v>74</v>
      </c>
      <c r="AD375" t="s">
        <v>74</v>
      </c>
      <c r="AE375" t="s">
        <v>74</v>
      </c>
      <c r="AF375" t="s">
        <v>74</v>
      </c>
      <c r="AG375">
        <v>10</v>
      </c>
      <c r="AH375">
        <v>6</v>
      </c>
      <c r="AI375">
        <v>7</v>
      </c>
      <c r="AJ375">
        <v>0</v>
      </c>
      <c r="AK375">
        <v>5</v>
      </c>
      <c r="AL375" t="s">
        <v>919</v>
      </c>
      <c r="AM375" t="s">
        <v>613</v>
      </c>
      <c r="AN375" t="s">
        <v>937</v>
      </c>
      <c r="AO375" t="s">
        <v>921</v>
      </c>
      <c r="AP375" t="s">
        <v>938</v>
      </c>
      <c r="AQ375" t="s">
        <v>74</v>
      </c>
      <c r="AR375" t="s">
        <v>922</v>
      </c>
      <c r="AS375" t="s">
        <v>923</v>
      </c>
      <c r="AT375" t="s">
        <v>5484</v>
      </c>
      <c r="AU375">
        <v>2004</v>
      </c>
      <c r="AV375">
        <v>16</v>
      </c>
      <c r="AW375">
        <v>3</v>
      </c>
      <c r="AX375" t="s">
        <v>74</v>
      </c>
      <c r="AY375" t="s">
        <v>74</v>
      </c>
      <c r="AZ375" t="s">
        <v>74</v>
      </c>
      <c r="BA375" t="s">
        <v>74</v>
      </c>
      <c r="BB375">
        <v>355</v>
      </c>
      <c r="BC375">
        <v>358</v>
      </c>
      <c r="BD375" t="s">
        <v>74</v>
      </c>
      <c r="BE375" t="s">
        <v>5651</v>
      </c>
      <c r="BF375" t="str">
        <f>HYPERLINK("http://dx.doi.org/10.1017/S0954102004002068","http://dx.doi.org/10.1017/S0954102004002068")</f>
        <v>http://dx.doi.org/10.1017/S0954102004002068</v>
      </c>
      <c r="BG375" t="s">
        <v>74</v>
      </c>
      <c r="BH375" t="s">
        <v>74</v>
      </c>
      <c r="BI375">
        <v>4</v>
      </c>
      <c r="BJ375" t="s">
        <v>925</v>
      </c>
      <c r="BK375" t="s">
        <v>139</v>
      </c>
      <c r="BL375" t="s">
        <v>926</v>
      </c>
      <c r="BM375" t="s">
        <v>5501</v>
      </c>
      <c r="BN375" t="s">
        <v>74</v>
      </c>
      <c r="BO375" t="s">
        <v>988</v>
      </c>
      <c r="BP375" t="s">
        <v>74</v>
      </c>
      <c r="BQ375" t="s">
        <v>74</v>
      </c>
      <c r="BR375" t="s">
        <v>98</v>
      </c>
      <c r="BS375" t="s">
        <v>5652</v>
      </c>
      <c r="BT375" t="str">
        <f>HYPERLINK("https%3A%2F%2Fwww.webofscience.com%2Fwos%2Fwoscc%2Ffull-record%2FWOS:000224403300015","View Full Record in Web of Science")</f>
        <v>View Full Record in Web of Science</v>
      </c>
    </row>
    <row r="376" spans="1:72" x14ac:dyDescent="0.15">
      <c r="A376" t="s">
        <v>122</v>
      </c>
      <c r="B376" t="s">
        <v>5653</v>
      </c>
      <c r="C376" t="s">
        <v>74</v>
      </c>
      <c r="D376" t="s">
        <v>74</v>
      </c>
      <c r="E376" t="s">
        <v>74</v>
      </c>
      <c r="F376" t="s">
        <v>5653</v>
      </c>
      <c r="G376" t="s">
        <v>74</v>
      </c>
      <c r="H376" t="s">
        <v>74</v>
      </c>
      <c r="I376" t="s">
        <v>5654</v>
      </c>
      <c r="J376" t="s">
        <v>1107</v>
      </c>
      <c r="K376" t="s">
        <v>74</v>
      </c>
      <c r="L376" t="s">
        <v>74</v>
      </c>
      <c r="M376" t="s">
        <v>79</v>
      </c>
      <c r="N376" t="s">
        <v>126</v>
      </c>
      <c r="O376" t="s">
        <v>74</v>
      </c>
      <c r="P376" t="s">
        <v>74</v>
      </c>
      <c r="Q376" t="s">
        <v>74</v>
      </c>
      <c r="R376" t="s">
        <v>74</v>
      </c>
      <c r="S376" t="s">
        <v>74</v>
      </c>
      <c r="T376" t="s">
        <v>74</v>
      </c>
      <c r="U376" t="s">
        <v>5655</v>
      </c>
      <c r="V376" t="s">
        <v>5656</v>
      </c>
      <c r="W376" t="s">
        <v>5657</v>
      </c>
      <c r="X376" t="s">
        <v>5658</v>
      </c>
      <c r="Y376" t="s">
        <v>5659</v>
      </c>
      <c r="Z376" t="s">
        <v>5660</v>
      </c>
      <c r="AA376" t="s">
        <v>74</v>
      </c>
      <c r="AB376" t="s">
        <v>5661</v>
      </c>
      <c r="AC376" t="s">
        <v>74</v>
      </c>
      <c r="AD376" t="s">
        <v>74</v>
      </c>
      <c r="AE376" t="s">
        <v>74</v>
      </c>
      <c r="AF376" t="s">
        <v>74</v>
      </c>
      <c r="AG376">
        <v>38</v>
      </c>
      <c r="AH376">
        <v>149</v>
      </c>
      <c r="AI376">
        <v>165</v>
      </c>
      <c r="AJ376">
        <v>0</v>
      </c>
      <c r="AK376">
        <v>18</v>
      </c>
      <c r="AL376" t="s">
        <v>1116</v>
      </c>
      <c r="AM376" t="s">
        <v>240</v>
      </c>
      <c r="AN376" t="s">
        <v>1117</v>
      </c>
      <c r="AO376" t="s">
        <v>1118</v>
      </c>
      <c r="AP376" t="s">
        <v>1119</v>
      </c>
      <c r="AQ376" t="s">
        <v>74</v>
      </c>
      <c r="AR376" t="s">
        <v>1120</v>
      </c>
      <c r="AS376" t="s">
        <v>1121</v>
      </c>
      <c r="AT376" t="s">
        <v>5484</v>
      </c>
      <c r="AU376">
        <v>2004</v>
      </c>
      <c r="AV376">
        <v>70</v>
      </c>
      <c r="AW376">
        <v>9</v>
      </c>
      <c r="AX376" t="s">
        <v>74</v>
      </c>
      <c r="AY376" t="s">
        <v>74</v>
      </c>
      <c r="AZ376" t="s">
        <v>74</v>
      </c>
      <c r="BA376" t="s">
        <v>74</v>
      </c>
      <c r="BB376">
        <v>5258</v>
      </c>
      <c r="BC376">
        <v>5265</v>
      </c>
      <c r="BD376" t="s">
        <v>74</v>
      </c>
      <c r="BE376" t="s">
        <v>5662</v>
      </c>
      <c r="BF376" t="str">
        <f>HYPERLINK("http://dx.doi.org/10.1128/AEM.70.9.5258-5265.2004","http://dx.doi.org/10.1128/AEM.70.9.5258-5265.2004")</f>
        <v>http://dx.doi.org/10.1128/AEM.70.9.5258-5265.2004</v>
      </c>
      <c r="BG376" t="s">
        <v>74</v>
      </c>
      <c r="BH376" t="s">
        <v>74</v>
      </c>
      <c r="BI376">
        <v>8</v>
      </c>
      <c r="BJ376" t="s">
        <v>1123</v>
      </c>
      <c r="BK376" t="s">
        <v>139</v>
      </c>
      <c r="BL376" t="s">
        <v>1123</v>
      </c>
      <c r="BM376" t="s">
        <v>5663</v>
      </c>
      <c r="BN376">
        <v>15345408</v>
      </c>
      <c r="BO376" t="s">
        <v>329</v>
      </c>
      <c r="BP376" t="s">
        <v>74</v>
      </c>
      <c r="BQ376" t="s">
        <v>74</v>
      </c>
      <c r="BR376" t="s">
        <v>98</v>
      </c>
      <c r="BS376" t="s">
        <v>5664</v>
      </c>
      <c r="BT376" t="str">
        <f>HYPERLINK("https%3A%2F%2Fwww.webofscience.com%2Fwos%2Fwoscc%2Ffull-record%2FWOS:000223901100027","View Full Record in Web of Science")</f>
        <v>View Full Record in Web of Science</v>
      </c>
    </row>
    <row r="377" spans="1:72" x14ac:dyDescent="0.15">
      <c r="A377" t="s">
        <v>122</v>
      </c>
      <c r="B377" t="s">
        <v>5665</v>
      </c>
      <c r="C377" t="s">
        <v>74</v>
      </c>
      <c r="D377" t="s">
        <v>74</v>
      </c>
      <c r="E377" t="s">
        <v>74</v>
      </c>
      <c r="F377" t="s">
        <v>5665</v>
      </c>
      <c r="G377" t="s">
        <v>74</v>
      </c>
      <c r="H377" t="s">
        <v>74</v>
      </c>
      <c r="I377" t="s">
        <v>5666</v>
      </c>
      <c r="J377" t="s">
        <v>5667</v>
      </c>
      <c r="K377" t="s">
        <v>74</v>
      </c>
      <c r="L377" t="s">
        <v>74</v>
      </c>
      <c r="M377" t="s">
        <v>79</v>
      </c>
      <c r="N377" t="s">
        <v>126</v>
      </c>
      <c r="O377" t="s">
        <v>74</v>
      </c>
      <c r="P377" t="s">
        <v>74</v>
      </c>
      <c r="Q377" t="s">
        <v>74</v>
      </c>
      <c r="R377" t="s">
        <v>74</v>
      </c>
      <c r="S377" t="s">
        <v>74</v>
      </c>
      <c r="T377" t="s">
        <v>5668</v>
      </c>
      <c r="U377" t="s">
        <v>5669</v>
      </c>
      <c r="V377" t="s">
        <v>5670</v>
      </c>
      <c r="W377" t="s">
        <v>5671</v>
      </c>
      <c r="X377" t="s">
        <v>5672</v>
      </c>
      <c r="Y377" t="s">
        <v>5673</v>
      </c>
      <c r="Z377" t="s">
        <v>5674</v>
      </c>
      <c r="AA377" t="s">
        <v>5675</v>
      </c>
      <c r="AB377" t="s">
        <v>5676</v>
      </c>
      <c r="AC377" t="s">
        <v>74</v>
      </c>
      <c r="AD377" t="s">
        <v>74</v>
      </c>
      <c r="AE377" t="s">
        <v>74</v>
      </c>
      <c r="AF377" t="s">
        <v>74</v>
      </c>
      <c r="AG377">
        <v>33</v>
      </c>
      <c r="AH377">
        <v>19</v>
      </c>
      <c r="AI377">
        <v>28</v>
      </c>
      <c r="AJ377">
        <v>0</v>
      </c>
      <c r="AK377">
        <v>9</v>
      </c>
      <c r="AL377" t="s">
        <v>5677</v>
      </c>
      <c r="AM377" t="s">
        <v>1510</v>
      </c>
      <c r="AN377" t="s">
        <v>1511</v>
      </c>
      <c r="AO377" t="s">
        <v>5678</v>
      </c>
      <c r="AP377" t="s">
        <v>74</v>
      </c>
      <c r="AQ377" t="s">
        <v>74</v>
      </c>
      <c r="AR377" t="s">
        <v>5679</v>
      </c>
      <c r="AS377" t="s">
        <v>5680</v>
      </c>
      <c r="AT377" t="s">
        <v>5681</v>
      </c>
      <c r="AU377">
        <v>2004</v>
      </c>
      <c r="AV377">
        <v>10</v>
      </c>
      <c r="AW377" t="s">
        <v>538</v>
      </c>
      <c r="AX377" t="s">
        <v>74</v>
      </c>
      <c r="AY377" t="s">
        <v>74</v>
      </c>
      <c r="AZ377" t="s">
        <v>74</v>
      </c>
      <c r="BA377" t="s">
        <v>74</v>
      </c>
      <c r="BB377">
        <v>221</v>
      </c>
      <c r="BC377">
        <v>238</v>
      </c>
      <c r="BD377" t="s">
        <v>74</v>
      </c>
      <c r="BE377" t="s">
        <v>5682</v>
      </c>
      <c r="BF377" t="str">
        <f>HYPERLINK("http://dx.doi.org/10.1007/s10498-004-2260-4","http://dx.doi.org/10.1007/s10498-004-2260-4")</f>
        <v>http://dx.doi.org/10.1007/s10498-004-2260-4</v>
      </c>
      <c r="BG377" t="s">
        <v>74</v>
      </c>
      <c r="BH377" t="s">
        <v>74</v>
      </c>
      <c r="BI377">
        <v>18</v>
      </c>
      <c r="BJ377" t="s">
        <v>271</v>
      </c>
      <c r="BK377" t="s">
        <v>139</v>
      </c>
      <c r="BL377" t="s">
        <v>271</v>
      </c>
      <c r="BM377" t="s">
        <v>5683</v>
      </c>
      <c r="BN377" t="s">
        <v>74</v>
      </c>
      <c r="BO377" t="s">
        <v>74</v>
      </c>
      <c r="BP377" t="s">
        <v>74</v>
      </c>
      <c r="BQ377" t="s">
        <v>74</v>
      </c>
      <c r="BR377" t="s">
        <v>98</v>
      </c>
      <c r="BS377" t="s">
        <v>5684</v>
      </c>
      <c r="BT377" t="str">
        <f>HYPERLINK("https%3A%2F%2Fwww.webofscience.com%2Fwos%2Fwoscc%2Ffull-record%2FWOS:000224910300003","View Full Record in Web of Science")</f>
        <v>View Full Record in Web of Science</v>
      </c>
    </row>
    <row r="378" spans="1:72" x14ac:dyDescent="0.15">
      <c r="A378" t="s">
        <v>122</v>
      </c>
      <c r="B378" t="s">
        <v>5685</v>
      </c>
      <c r="C378" t="s">
        <v>74</v>
      </c>
      <c r="D378" t="s">
        <v>74</v>
      </c>
      <c r="E378" t="s">
        <v>74</v>
      </c>
      <c r="F378" t="s">
        <v>5685</v>
      </c>
      <c r="G378" t="s">
        <v>74</v>
      </c>
      <c r="H378" t="s">
        <v>74</v>
      </c>
      <c r="I378" t="s">
        <v>5686</v>
      </c>
      <c r="J378" t="s">
        <v>5687</v>
      </c>
      <c r="K378" t="s">
        <v>74</v>
      </c>
      <c r="L378" t="s">
        <v>74</v>
      </c>
      <c r="M378" t="s">
        <v>79</v>
      </c>
      <c r="N378" t="s">
        <v>126</v>
      </c>
      <c r="O378" t="s">
        <v>74</v>
      </c>
      <c r="P378" t="s">
        <v>74</v>
      </c>
      <c r="Q378" t="s">
        <v>74</v>
      </c>
      <c r="R378" t="s">
        <v>74</v>
      </c>
      <c r="S378" t="s">
        <v>74</v>
      </c>
      <c r="T378" t="s">
        <v>5688</v>
      </c>
      <c r="U378" t="s">
        <v>5689</v>
      </c>
      <c r="V378" t="s">
        <v>5690</v>
      </c>
      <c r="W378" t="s">
        <v>5691</v>
      </c>
      <c r="X378" t="s">
        <v>5692</v>
      </c>
      <c r="Y378" t="s">
        <v>5693</v>
      </c>
      <c r="Z378" t="s">
        <v>5694</v>
      </c>
      <c r="AA378" t="s">
        <v>5695</v>
      </c>
      <c r="AB378" t="s">
        <v>5696</v>
      </c>
      <c r="AC378" t="s">
        <v>74</v>
      </c>
      <c r="AD378" t="s">
        <v>74</v>
      </c>
      <c r="AE378" t="s">
        <v>74</v>
      </c>
      <c r="AF378" t="s">
        <v>74</v>
      </c>
      <c r="AG378">
        <v>34</v>
      </c>
      <c r="AH378">
        <v>64</v>
      </c>
      <c r="AI378">
        <v>88</v>
      </c>
      <c r="AJ378">
        <v>0</v>
      </c>
      <c r="AK378">
        <v>27</v>
      </c>
      <c r="AL378" t="s">
        <v>5697</v>
      </c>
      <c r="AM378" t="s">
        <v>5698</v>
      </c>
      <c r="AN378" t="s">
        <v>5699</v>
      </c>
      <c r="AO378" t="s">
        <v>5700</v>
      </c>
      <c r="AP378" t="s">
        <v>5701</v>
      </c>
      <c r="AQ378" t="s">
        <v>74</v>
      </c>
      <c r="AR378" t="s">
        <v>5687</v>
      </c>
      <c r="AS378" t="s">
        <v>5702</v>
      </c>
      <c r="AT378" t="s">
        <v>5703</v>
      </c>
      <c r="AU378">
        <v>2004</v>
      </c>
      <c r="AV378">
        <v>4</v>
      </c>
      <c r="AW378">
        <v>3</v>
      </c>
      <c r="AX378" t="s">
        <v>74</v>
      </c>
      <c r="AY378" t="s">
        <v>74</v>
      </c>
      <c r="AZ378" t="s">
        <v>74</v>
      </c>
      <c r="BA378" t="s">
        <v>74</v>
      </c>
      <c r="BB378">
        <v>345</v>
      </c>
      <c r="BC378">
        <v>358</v>
      </c>
      <c r="BD378" t="s">
        <v>74</v>
      </c>
      <c r="BE378" t="s">
        <v>5704</v>
      </c>
      <c r="BF378" t="str">
        <f>HYPERLINK("http://dx.doi.org/10.1089/ast.2004.4.345","http://dx.doi.org/10.1089/ast.2004.4.345")</f>
        <v>http://dx.doi.org/10.1089/ast.2004.4.345</v>
      </c>
      <c r="BG378" t="s">
        <v>74</v>
      </c>
      <c r="BH378" t="s">
        <v>74</v>
      </c>
      <c r="BI378">
        <v>14</v>
      </c>
      <c r="BJ378" t="s">
        <v>5705</v>
      </c>
      <c r="BK378" t="s">
        <v>139</v>
      </c>
      <c r="BL378" t="s">
        <v>5706</v>
      </c>
      <c r="BM378" t="s">
        <v>5707</v>
      </c>
      <c r="BN378">
        <v>15383239</v>
      </c>
      <c r="BO378" t="s">
        <v>74</v>
      </c>
      <c r="BP378" t="s">
        <v>74</v>
      </c>
      <c r="BQ378" t="s">
        <v>74</v>
      </c>
      <c r="BR378" t="s">
        <v>98</v>
      </c>
      <c r="BS378" t="s">
        <v>5708</v>
      </c>
      <c r="BT378" t="str">
        <f>HYPERLINK("https%3A%2F%2Fwww.webofscience.com%2Fwos%2Fwoscc%2Ffull-record%2FWOS:000223925900003","View Full Record in Web of Science")</f>
        <v>View Full Record in Web of Science</v>
      </c>
    </row>
    <row r="379" spans="1:72" x14ac:dyDescent="0.15">
      <c r="A379" t="s">
        <v>122</v>
      </c>
      <c r="B379" t="s">
        <v>5709</v>
      </c>
      <c r="C379" t="s">
        <v>74</v>
      </c>
      <c r="D379" t="s">
        <v>74</v>
      </c>
      <c r="E379" t="s">
        <v>74</v>
      </c>
      <c r="F379" t="s">
        <v>5709</v>
      </c>
      <c r="G379" t="s">
        <v>74</v>
      </c>
      <c r="H379" t="s">
        <v>74</v>
      </c>
      <c r="I379" t="s">
        <v>5710</v>
      </c>
      <c r="J379" t="s">
        <v>5711</v>
      </c>
      <c r="K379" t="s">
        <v>74</v>
      </c>
      <c r="L379" t="s">
        <v>74</v>
      </c>
      <c r="M379" t="s">
        <v>79</v>
      </c>
      <c r="N379" t="s">
        <v>126</v>
      </c>
      <c r="O379" t="s">
        <v>74</v>
      </c>
      <c r="P379" t="s">
        <v>74</v>
      </c>
      <c r="Q379" t="s">
        <v>74</v>
      </c>
      <c r="R379" t="s">
        <v>74</v>
      </c>
      <c r="S379" t="s">
        <v>74</v>
      </c>
      <c r="T379" t="s">
        <v>74</v>
      </c>
      <c r="U379" t="s">
        <v>5712</v>
      </c>
      <c r="V379" t="s">
        <v>5713</v>
      </c>
      <c r="W379" t="s">
        <v>5714</v>
      </c>
      <c r="X379" t="s">
        <v>5715</v>
      </c>
      <c r="Y379" t="s">
        <v>5716</v>
      </c>
      <c r="Z379" t="s">
        <v>5717</v>
      </c>
      <c r="AA379" t="s">
        <v>74</v>
      </c>
      <c r="AB379" t="s">
        <v>74</v>
      </c>
      <c r="AC379" t="s">
        <v>74</v>
      </c>
      <c r="AD379" t="s">
        <v>74</v>
      </c>
      <c r="AE379" t="s">
        <v>74</v>
      </c>
      <c r="AF379" t="s">
        <v>74</v>
      </c>
      <c r="AG379">
        <v>45</v>
      </c>
      <c r="AH379">
        <v>6</v>
      </c>
      <c r="AI379">
        <v>7</v>
      </c>
      <c r="AJ379">
        <v>0</v>
      </c>
      <c r="AK379">
        <v>3</v>
      </c>
      <c r="AL379" t="s">
        <v>5718</v>
      </c>
      <c r="AM379" t="s">
        <v>5719</v>
      </c>
      <c r="AN379" t="s">
        <v>5720</v>
      </c>
      <c r="AO379" t="s">
        <v>5721</v>
      </c>
      <c r="AP379" t="s">
        <v>74</v>
      </c>
      <c r="AQ379" t="s">
        <v>74</v>
      </c>
      <c r="AR379" t="s">
        <v>5722</v>
      </c>
      <c r="AS379" t="s">
        <v>5723</v>
      </c>
      <c r="AT379" t="s">
        <v>5484</v>
      </c>
      <c r="AU379">
        <v>2004</v>
      </c>
      <c r="AV379">
        <v>42</v>
      </c>
      <c r="AW379">
        <v>3</v>
      </c>
      <c r="AX379" t="s">
        <v>74</v>
      </c>
      <c r="AY379" t="s">
        <v>74</v>
      </c>
      <c r="AZ379" t="s">
        <v>74</v>
      </c>
      <c r="BA379" t="s">
        <v>74</v>
      </c>
      <c r="BB379">
        <v>213</v>
      </c>
      <c r="BC379">
        <v>220</v>
      </c>
      <c r="BD379" t="s">
        <v>74</v>
      </c>
      <c r="BE379" t="s">
        <v>5724</v>
      </c>
      <c r="BF379" t="str">
        <f>HYPERLINK("http://dx.doi.org/10.3137/ao.420305","http://dx.doi.org/10.3137/ao.420305")</f>
        <v>http://dx.doi.org/10.3137/ao.420305</v>
      </c>
      <c r="BG379" t="s">
        <v>74</v>
      </c>
      <c r="BH379" t="s">
        <v>74</v>
      </c>
      <c r="BI379">
        <v>8</v>
      </c>
      <c r="BJ379" t="s">
        <v>3323</v>
      </c>
      <c r="BK379" t="s">
        <v>139</v>
      </c>
      <c r="BL379" t="s">
        <v>3323</v>
      </c>
      <c r="BM379" t="s">
        <v>5725</v>
      </c>
      <c r="BN379" t="s">
        <v>74</v>
      </c>
      <c r="BO379" t="s">
        <v>273</v>
      </c>
      <c r="BP379" t="s">
        <v>74</v>
      </c>
      <c r="BQ379" t="s">
        <v>74</v>
      </c>
      <c r="BR379" t="s">
        <v>98</v>
      </c>
      <c r="BS379" t="s">
        <v>5726</v>
      </c>
      <c r="BT379" t="str">
        <f>HYPERLINK("https%3A%2F%2Fwww.webofscience.com%2Fwos%2Fwoscc%2Ffull-record%2FWOS:000224121400005","View Full Record in Web of Science")</f>
        <v>View Full Record in Web of Science</v>
      </c>
    </row>
    <row r="380" spans="1:72" x14ac:dyDescent="0.15">
      <c r="A380" t="s">
        <v>122</v>
      </c>
      <c r="B380" t="s">
        <v>5727</v>
      </c>
      <c r="C380" t="s">
        <v>74</v>
      </c>
      <c r="D380" t="s">
        <v>74</v>
      </c>
      <c r="E380" t="s">
        <v>74</v>
      </c>
      <c r="F380" t="s">
        <v>5727</v>
      </c>
      <c r="G380" t="s">
        <v>74</v>
      </c>
      <c r="H380" t="s">
        <v>74</v>
      </c>
      <c r="I380" t="s">
        <v>5728</v>
      </c>
      <c r="J380" t="s">
        <v>4303</v>
      </c>
      <c r="K380" t="s">
        <v>74</v>
      </c>
      <c r="L380" t="s">
        <v>74</v>
      </c>
      <c r="M380" t="s">
        <v>79</v>
      </c>
      <c r="N380" t="s">
        <v>126</v>
      </c>
      <c r="O380" t="s">
        <v>74</v>
      </c>
      <c r="P380" t="s">
        <v>74</v>
      </c>
      <c r="Q380" t="s">
        <v>74</v>
      </c>
      <c r="R380" t="s">
        <v>74</v>
      </c>
      <c r="S380" t="s">
        <v>74</v>
      </c>
      <c r="T380" t="s">
        <v>5729</v>
      </c>
      <c r="U380" t="s">
        <v>5730</v>
      </c>
      <c r="V380" t="s">
        <v>5731</v>
      </c>
      <c r="W380" t="s">
        <v>5732</v>
      </c>
      <c r="X380" t="s">
        <v>5733</v>
      </c>
      <c r="Y380" t="s">
        <v>5734</v>
      </c>
      <c r="Z380" t="s">
        <v>74</v>
      </c>
      <c r="AA380" t="s">
        <v>5735</v>
      </c>
      <c r="AB380" t="s">
        <v>74</v>
      </c>
      <c r="AC380" t="s">
        <v>74</v>
      </c>
      <c r="AD380" t="s">
        <v>74</v>
      </c>
      <c r="AE380" t="s">
        <v>74</v>
      </c>
      <c r="AF380" t="s">
        <v>74</v>
      </c>
      <c r="AG380">
        <v>16</v>
      </c>
      <c r="AH380">
        <v>9</v>
      </c>
      <c r="AI380">
        <v>10</v>
      </c>
      <c r="AJ380">
        <v>0</v>
      </c>
      <c r="AK380">
        <v>4</v>
      </c>
      <c r="AL380" t="s">
        <v>1273</v>
      </c>
      <c r="AM380" t="s">
        <v>197</v>
      </c>
      <c r="AN380" t="s">
        <v>1274</v>
      </c>
      <c r="AO380" t="s">
        <v>4312</v>
      </c>
      <c r="AP380" t="s">
        <v>4341</v>
      </c>
      <c r="AQ380" t="s">
        <v>74</v>
      </c>
      <c r="AR380" t="s">
        <v>4313</v>
      </c>
      <c r="AS380" t="s">
        <v>4314</v>
      </c>
      <c r="AT380" t="s">
        <v>5484</v>
      </c>
      <c r="AU380">
        <v>2004</v>
      </c>
      <c r="AV380">
        <v>38</v>
      </c>
      <c r="AW380">
        <v>27</v>
      </c>
      <c r="AX380" t="s">
        <v>74</v>
      </c>
      <c r="AY380" t="s">
        <v>74</v>
      </c>
      <c r="AZ380" t="s">
        <v>74</v>
      </c>
      <c r="BA380" t="s">
        <v>74</v>
      </c>
      <c r="BB380">
        <v>4583</v>
      </c>
      <c r="BC380">
        <v>4588</v>
      </c>
      <c r="BD380" t="s">
        <v>74</v>
      </c>
      <c r="BE380" t="s">
        <v>5736</v>
      </c>
      <c r="BF380" t="str">
        <f>HYPERLINK("http://dx.doi.org/10.1016/j.atmosenv.2004.03.042","http://dx.doi.org/10.1016/j.atmosenv.2004.03.042")</f>
        <v>http://dx.doi.org/10.1016/j.atmosenv.2004.03.042</v>
      </c>
      <c r="BG380" t="s">
        <v>74</v>
      </c>
      <c r="BH380" t="s">
        <v>74</v>
      </c>
      <c r="BI380">
        <v>6</v>
      </c>
      <c r="BJ380" t="s">
        <v>832</v>
      </c>
      <c r="BK380" t="s">
        <v>139</v>
      </c>
      <c r="BL380" t="s">
        <v>833</v>
      </c>
      <c r="BM380" t="s">
        <v>5737</v>
      </c>
      <c r="BN380" t="s">
        <v>74</v>
      </c>
      <c r="BO380" t="s">
        <v>74</v>
      </c>
      <c r="BP380" t="s">
        <v>74</v>
      </c>
      <c r="BQ380" t="s">
        <v>74</v>
      </c>
      <c r="BR380" t="s">
        <v>98</v>
      </c>
      <c r="BS380" t="s">
        <v>5738</v>
      </c>
      <c r="BT380" t="str">
        <f>HYPERLINK("https%3A%2F%2Fwww.webofscience.com%2Fwos%2Fwoscc%2Ffull-record%2FWOS:000223121000017","View Full Record in Web of Science")</f>
        <v>View Full Record in Web of Science</v>
      </c>
    </row>
    <row r="381" spans="1:72" x14ac:dyDescent="0.15">
      <c r="A381" t="s">
        <v>122</v>
      </c>
      <c r="B381" t="s">
        <v>5739</v>
      </c>
      <c r="C381" t="s">
        <v>74</v>
      </c>
      <c r="D381" t="s">
        <v>74</v>
      </c>
      <c r="E381" t="s">
        <v>74</v>
      </c>
      <c r="F381" t="s">
        <v>5739</v>
      </c>
      <c r="G381" t="s">
        <v>74</v>
      </c>
      <c r="H381" t="s">
        <v>74</v>
      </c>
      <c r="I381" t="s">
        <v>5740</v>
      </c>
      <c r="J381" t="s">
        <v>5741</v>
      </c>
      <c r="K381" t="s">
        <v>74</v>
      </c>
      <c r="L381" t="s">
        <v>74</v>
      </c>
      <c r="M381" t="s">
        <v>79</v>
      </c>
      <c r="N381" t="s">
        <v>126</v>
      </c>
      <c r="O381" t="s">
        <v>74</v>
      </c>
      <c r="P381" t="s">
        <v>74</v>
      </c>
      <c r="Q381" t="s">
        <v>74</v>
      </c>
      <c r="R381" t="s">
        <v>74</v>
      </c>
      <c r="S381" t="s">
        <v>74</v>
      </c>
      <c r="T381" t="s">
        <v>74</v>
      </c>
      <c r="U381" t="s">
        <v>5742</v>
      </c>
      <c r="V381" t="s">
        <v>5743</v>
      </c>
      <c r="W381" t="s">
        <v>5744</v>
      </c>
      <c r="X381" t="s">
        <v>5745</v>
      </c>
      <c r="Y381" t="s">
        <v>5746</v>
      </c>
      <c r="Z381" t="s">
        <v>5747</v>
      </c>
      <c r="AA381" t="s">
        <v>74</v>
      </c>
      <c r="AB381" t="s">
        <v>74</v>
      </c>
      <c r="AC381" t="s">
        <v>74</v>
      </c>
      <c r="AD381" t="s">
        <v>74</v>
      </c>
      <c r="AE381" t="s">
        <v>74</v>
      </c>
      <c r="AF381" t="s">
        <v>74</v>
      </c>
      <c r="AG381">
        <v>23</v>
      </c>
      <c r="AH381">
        <v>3</v>
      </c>
      <c r="AI381">
        <v>5</v>
      </c>
      <c r="AJ381">
        <v>0</v>
      </c>
      <c r="AK381">
        <v>1</v>
      </c>
      <c r="AL381" t="s">
        <v>5748</v>
      </c>
      <c r="AM381" t="s">
        <v>5749</v>
      </c>
      <c r="AN381" t="s">
        <v>5750</v>
      </c>
      <c r="AO381" t="s">
        <v>5751</v>
      </c>
      <c r="AP381" t="s">
        <v>74</v>
      </c>
      <c r="AQ381" t="s">
        <v>74</v>
      </c>
      <c r="AR381" t="s">
        <v>5752</v>
      </c>
      <c r="AS381" t="s">
        <v>5753</v>
      </c>
      <c r="AT381" t="s">
        <v>5484</v>
      </c>
      <c r="AU381">
        <v>2004</v>
      </c>
      <c r="AV381">
        <v>53</v>
      </c>
      <c r="AW381">
        <v>3</v>
      </c>
      <c r="AX381" t="s">
        <v>74</v>
      </c>
      <c r="AY381" t="s">
        <v>74</v>
      </c>
      <c r="AZ381" t="s">
        <v>74</v>
      </c>
      <c r="BA381" t="s">
        <v>74</v>
      </c>
      <c r="BB381">
        <v>217</v>
      </c>
      <c r="BC381">
        <v>231</v>
      </c>
      <c r="BD381" t="s">
        <v>74</v>
      </c>
      <c r="BE381" t="s">
        <v>74</v>
      </c>
      <c r="BF381" t="s">
        <v>74</v>
      </c>
      <c r="BG381" t="s">
        <v>74</v>
      </c>
      <c r="BH381" t="s">
        <v>74</v>
      </c>
      <c r="BI381">
        <v>15</v>
      </c>
      <c r="BJ381" t="s">
        <v>291</v>
      </c>
      <c r="BK381" t="s">
        <v>139</v>
      </c>
      <c r="BL381" t="s">
        <v>291</v>
      </c>
      <c r="BM381" t="s">
        <v>5754</v>
      </c>
      <c r="BN381" t="s">
        <v>74</v>
      </c>
      <c r="BO381" t="s">
        <v>74</v>
      </c>
      <c r="BP381" t="s">
        <v>74</v>
      </c>
      <c r="BQ381" t="s">
        <v>74</v>
      </c>
      <c r="BR381" t="s">
        <v>98</v>
      </c>
      <c r="BS381" t="s">
        <v>5755</v>
      </c>
      <c r="BT381" t="str">
        <f>HYPERLINK("https%3A%2F%2Fwww.webofscience.com%2Fwos%2Fwoscc%2Ffull-record%2FWOS:000225717400007","View Full Record in Web of Science")</f>
        <v>View Full Record in Web of Science</v>
      </c>
    </row>
    <row r="382" spans="1:72" x14ac:dyDescent="0.15">
      <c r="A382" t="s">
        <v>122</v>
      </c>
      <c r="B382" t="s">
        <v>5756</v>
      </c>
      <c r="C382" t="s">
        <v>74</v>
      </c>
      <c r="D382" t="s">
        <v>74</v>
      </c>
      <c r="E382" t="s">
        <v>74</v>
      </c>
      <c r="F382" t="s">
        <v>5756</v>
      </c>
      <c r="G382" t="s">
        <v>74</v>
      </c>
      <c r="H382" t="s">
        <v>74</v>
      </c>
      <c r="I382" t="s">
        <v>5757</v>
      </c>
      <c r="J382" t="s">
        <v>4446</v>
      </c>
      <c r="K382" t="s">
        <v>74</v>
      </c>
      <c r="L382" t="s">
        <v>74</v>
      </c>
      <c r="M382" t="s">
        <v>79</v>
      </c>
      <c r="N382" t="s">
        <v>126</v>
      </c>
      <c r="O382" t="s">
        <v>74</v>
      </c>
      <c r="P382" t="s">
        <v>74</v>
      </c>
      <c r="Q382" t="s">
        <v>74</v>
      </c>
      <c r="R382" t="s">
        <v>74</v>
      </c>
      <c r="S382" t="s">
        <v>74</v>
      </c>
      <c r="T382" t="s">
        <v>5758</v>
      </c>
      <c r="U382" t="s">
        <v>74</v>
      </c>
      <c r="V382" t="s">
        <v>5759</v>
      </c>
      <c r="W382" t="s">
        <v>5760</v>
      </c>
      <c r="X382" t="s">
        <v>5761</v>
      </c>
      <c r="Y382" t="s">
        <v>5762</v>
      </c>
      <c r="Z382" t="s">
        <v>5763</v>
      </c>
      <c r="AA382" t="s">
        <v>74</v>
      </c>
      <c r="AB382" t="s">
        <v>5764</v>
      </c>
      <c r="AC382" t="s">
        <v>74</v>
      </c>
      <c r="AD382" t="s">
        <v>74</v>
      </c>
      <c r="AE382" t="s">
        <v>74</v>
      </c>
      <c r="AF382" t="s">
        <v>74</v>
      </c>
      <c r="AG382">
        <v>9</v>
      </c>
      <c r="AH382">
        <v>12</v>
      </c>
      <c r="AI382">
        <v>12</v>
      </c>
      <c r="AJ382">
        <v>0</v>
      </c>
      <c r="AK382">
        <v>8</v>
      </c>
      <c r="AL382" t="s">
        <v>3797</v>
      </c>
      <c r="AM382" t="s">
        <v>197</v>
      </c>
      <c r="AN382" t="s">
        <v>3798</v>
      </c>
      <c r="AO382" t="s">
        <v>4456</v>
      </c>
      <c r="AP382" t="s">
        <v>4457</v>
      </c>
      <c r="AQ382" t="s">
        <v>74</v>
      </c>
      <c r="AR382" t="s">
        <v>4458</v>
      </c>
      <c r="AS382" t="s">
        <v>4459</v>
      </c>
      <c r="AT382" t="s">
        <v>5484</v>
      </c>
      <c r="AU382">
        <v>2004</v>
      </c>
      <c r="AV382">
        <v>119</v>
      </c>
      <c r="AW382">
        <v>2</v>
      </c>
      <c r="AX382" t="s">
        <v>74</v>
      </c>
      <c r="AY382" t="s">
        <v>74</v>
      </c>
      <c r="AZ382" t="s">
        <v>74</v>
      </c>
      <c r="BA382" t="s">
        <v>74</v>
      </c>
      <c r="BB382">
        <v>271</v>
      </c>
      <c r="BC382">
        <v>278</v>
      </c>
      <c r="BD382" t="s">
        <v>74</v>
      </c>
      <c r="BE382" t="s">
        <v>5765</v>
      </c>
      <c r="BF382" t="str">
        <f>HYPERLINK("http://dx.doi.org/10.1016/j.biocon.2003.11.018","http://dx.doi.org/10.1016/j.biocon.2003.11.018")</f>
        <v>http://dx.doi.org/10.1016/j.biocon.2003.11.018</v>
      </c>
      <c r="BG382" t="s">
        <v>74</v>
      </c>
      <c r="BH382" t="s">
        <v>74</v>
      </c>
      <c r="BI382">
        <v>8</v>
      </c>
      <c r="BJ382" t="s">
        <v>1336</v>
      </c>
      <c r="BK382" t="s">
        <v>139</v>
      </c>
      <c r="BL382" t="s">
        <v>1337</v>
      </c>
      <c r="BM382" t="s">
        <v>5766</v>
      </c>
      <c r="BN382" t="s">
        <v>74</v>
      </c>
      <c r="BO382" t="s">
        <v>74</v>
      </c>
      <c r="BP382" t="s">
        <v>74</v>
      </c>
      <c r="BQ382" t="s">
        <v>74</v>
      </c>
      <c r="BR382" t="s">
        <v>98</v>
      </c>
      <c r="BS382" t="s">
        <v>5767</v>
      </c>
      <c r="BT382" t="str">
        <f>HYPERLINK("https%3A%2F%2Fwww.webofscience.com%2Fwos%2Fwoscc%2Ffull-record%2FWOS:000222367100013","View Full Record in Web of Science")</f>
        <v>View Full Record in Web of Science</v>
      </c>
    </row>
    <row r="383" spans="1:72" x14ac:dyDescent="0.15">
      <c r="A383" t="s">
        <v>122</v>
      </c>
      <c r="B383" t="s">
        <v>5768</v>
      </c>
      <c r="C383" t="s">
        <v>74</v>
      </c>
      <c r="D383" t="s">
        <v>74</v>
      </c>
      <c r="E383" t="s">
        <v>74</v>
      </c>
      <c r="F383" t="s">
        <v>5768</v>
      </c>
      <c r="G383" t="s">
        <v>74</v>
      </c>
      <c r="H383" t="s">
        <v>5769</v>
      </c>
      <c r="I383" t="s">
        <v>5770</v>
      </c>
      <c r="J383" t="s">
        <v>5771</v>
      </c>
      <c r="K383" t="s">
        <v>74</v>
      </c>
      <c r="L383" t="s">
        <v>74</v>
      </c>
      <c r="M383" t="s">
        <v>79</v>
      </c>
      <c r="N383" t="s">
        <v>126</v>
      </c>
      <c r="O383" t="s">
        <v>74</v>
      </c>
      <c r="P383" t="s">
        <v>74</v>
      </c>
      <c r="Q383" t="s">
        <v>74</v>
      </c>
      <c r="R383" t="s">
        <v>74</v>
      </c>
      <c r="S383" t="s">
        <v>74</v>
      </c>
      <c r="T383" t="s">
        <v>74</v>
      </c>
      <c r="U383" t="s">
        <v>5772</v>
      </c>
      <c r="V383" t="s">
        <v>5773</v>
      </c>
      <c r="W383" t="s">
        <v>5774</v>
      </c>
      <c r="X383" t="s">
        <v>5775</v>
      </c>
      <c r="Y383" t="s">
        <v>5776</v>
      </c>
      <c r="Z383" t="s">
        <v>5777</v>
      </c>
      <c r="AA383" t="s">
        <v>5778</v>
      </c>
      <c r="AB383" t="s">
        <v>74</v>
      </c>
      <c r="AC383" t="s">
        <v>74</v>
      </c>
      <c r="AD383" t="s">
        <v>74</v>
      </c>
      <c r="AE383" t="s">
        <v>74</v>
      </c>
      <c r="AF383" t="s">
        <v>74</v>
      </c>
      <c r="AG383">
        <v>34</v>
      </c>
      <c r="AH383">
        <v>49</v>
      </c>
      <c r="AI383">
        <v>53</v>
      </c>
      <c r="AJ383">
        <v>0</v>
      </c>
      <c r="AK383">
        <v>10</v>
      </c>
      <c r="AL383" t="s">
        <v>1509</v>
      </c>
      <c r="AM383" t="s">
        <v>613</v>
      </c>
      <c r="AN383" t="s">
        <v>1821</v>
      </c>
      <c r="AO383" t="s">
        <v>5779</v>
      </c>
      <c r="AP383" t="s">
        <v>5780</v>
      </c>
      <c r="AQ383" t="s">
        <v>74</v>
      </c>
      <c r="AR383" t="s">
        <v>5781</v>
      </c>
      <c r="AS383" t="s">
        <v>5782</v>
      </c>
      <c r="AT383" t="s">
        <v>5484</v>
      </c>
      <c r="AU383">
        <v>2004</v>
      </c>
      <c r="AV383">
        <v>23</v>
      </c>
      <c r="AW383" t="s">
        <v>538</v>
      </c>
      <c r="AX383" t="s">
        <v>74</v>
      </c>
      <c r="AY383" t="s">
        <v>74</v>
      </c>
      <c r="AZ383" t="s">
        <v>74</v>
      </c>
      <c r="BA383" t="s">
        <v>74</v>
      </c>
      <c r="BB383">
        <v>229</v>
      </c>
      <c r="BC383">
        <v>241</v>
      </c>
      <c r="BD383" t="s">
        <v>74</v>
      </c>
      <c r="BE383" t="s">
        <v>5783</v>
      </c>
      <c r="BF383" t="str">
        <f>HYPERLINK("http://dx.doi.org/10.1007/s00382-004-0436-7","http://dx.doi.org/10.1007/s00382-004-0436-7")</f>
        <v>http://dx.doi.org/10.1007/s00382-004-0436-7</v>
      </c>
      <c r="BG383" t="s">
        <v>74</v>
      </c>
      <c r="BH383" t="s">
        <v>74</v>
      </c>
      <c r="BI383">
        <v>13</v>
      </c>
      <c r="BJ383" t="s">
        <v>291</v>
      </c>
      <c r="BK383" t="s">
        <v>139</v>
      </c>
      <c r="BL383" t="s">
        <v>291</v>
      </c>
      <c r="BM383" t="s">
        <v>5784</v>
      </c>
      <c r="BN383" t="s">
        <v>74</v>
      </c>
      <c r="BO383" t="s">
        <v>74</v>
      </c>
      <c r="BP383" t="s">
        <v>74</v>
      </c>
      <c r="BQ383" t="s">
        <v>74</v>
      </c>
      <c r="BR383" t="s">
        <v>98</v>
      </c>
      <c r="BS383" t="s">
        <v>5785</v>
      </c>
      <c r="BT383" t="str">
        <f>HYPERLINK("https%3A%2F%2Fwww.webofscience.com%2Fwos%2Fwoscc%2Ffull-record%2FWOS:000224274500001","View Full Record in Web of Science")</f>
        <v>View Full Record in Web of Science</v>
      </c>
    </row>
    <row r="384" spans="1:72" x14ac:dyDescent="0.15">
      <c r="A384" t="s">
        <v>122</v>
      </c>
      <c r="B384" t="s">
        <v>5786</v>
      </c>
      <c r="C384" t="s">
        <v>74</v>
      </c>
      <c r="D384" t="s">
        <v>74</v>
      </c>
      <c r="E384" t="s">
        <v>74</v>
      </c>
      <c r="F384" t="s">
        <v>5786</v>
      </c>
      <c r="G384" t="s">
        <v>74</v>
      </c>
      <c r="H384" t="s">
        <v>74</v>
      </c>
      <c r="I384" t="s">
        <v>5787</v>
      </c>
      <c r="J384" t="s">
        <v>5771</v>
      </c>
      <c r="K384" t="s">
        <v>74</v>
      </c>
      <c r="L384" t="s">
        <v>74</v>
      </c>
      <c r="M384" t="s">
        <v>79</v>
      </c>
      <c r="N384" t="s">
        <v>126</v>
      </c>
      <c r="O384" t="s">
        <v>74</v>
      </c>
      <c r="P384" t="s">
        <v>74</v>
      </c>
      <c r="Q384" t="s">
        <v>74</v>
      </c>
      <c r="R384" t="s">
        <v>74</v>
      </c>
      <c r="S384" t="s">
        <v>74</v>
      </c>
      <c r="T384" t="s">
        <v>74</v>
      </c>
      <c r="U384" t="s">
        <v>5788</v>
      </c>
      <c r="V384" t="s">
        <v>5789</v>
      </c>
      <c r="W384" t="s">
        <v>5790</v>
      </c>
      <c r="X384" t="s">
        <v>5791</v>
      </c>
      <c r="Y384" t="s">
        <v>5792</v>
      </c>
      <c r="Z384" t="s">
        <v>5793</v>
      </c>
      <c r="AA384" t="s">
        <v>5794</v>
      </c>
      <c r="AB384" t="s">
        <v>5795</v>
      </c>
      <c r="AC384" t="s">
        <v>74</v>
      </c>
      <c r="AD384" t="s">
        <v>74</v>
      </c>
      <c r="AE384" t="s">
        <v>74</v>
      </c>
      <c r="AF384" t="s">
        <v>74</v>
      </c>
      <c r="AG384">
        <v>36</v>
      </c>
      <c r="AH384">
        <v>88</v>
      </c>
      <c r="AI384">
        <v>99</v>
      </c>
      <c r="AJ384">
        <v>0</v>
      </c>
      <c r="AK384">
        <v>31</v>
      </c>
      <c r="AL384" t="s">
        <v>1509</v>
      </c>
      <c r="AM384" t="s">
        <v>613</v>
      </c>
      <c r="AN384" t="s">
        <v>1776</v>
      </c>
      <c r="AO384" t="s">
        <v>5779</v>
      </c>
      <c r="AP384" t="s">
        <v>74</v>
      </c>
      <c r="AQ384" t="s">
        <v>74</v>
      </c>
      <c r="AR384" t="s">
        <v>5781</v>
      </c>
      <c r="AS384" t="s">
        <v>5782</v>
      </c>
      <c r="AT384" t="s">
        <v>5484</v>
      </c>
      <c r="AU384">
        <v>2004</v>
      </c>
      <c r="AV384">
        <v>23</v>
      </c>
      <c r="AW384" t="s">
        <v>538</v>
      </c>
      <c r="AX384" t="s">
        <v>74</v>
      </c>
      <c r="AY384" t="s">
        <v>74</v>
      </c>
      <c r="AZ384" t="s">
        <v>74</v>
      </c>
      <c r="BA384" t="s">
        <v>74</v>
      </c>
      <c r="BB384">
        <v>427</v>
      </c>
      <c r="BC384">
        <v>438</v>
      </c>
      <c r="BD384" t="s">
        <v>74</v>
      </c>
      <c r="BE384" t="s">
        <v>5796</v>
      </c>
      <c r="BF384" t="str">
        <f>HYPERLINK("http://dx.doi.org/10.1007/s00382-004-0450-9","http://dx.doi.org/10.1007/s00382-004-0450-9")</f>
        <v>http://dx.doi.org/10.1007/s00382-004-0450-9</v>
      </c>
      <c r="BG384" t="s">
        <v>74</v>
      </c>
      <c r="BH384" t="s">
        <v>74</v>
      </c>
      <c r="BI384">
        <v>12</v>
      </c>
      <c r="BJ384" t="s">
        <v>291</v>
      </c>
      <c r="BK384" t="s">
        <v>139</v>
      </c>
      <c r="BL384" t="s">
        <v>291</v>
      </c>
      <c r="BM384" t="s">
        <v>5784</v>
      </c>
      <c r="BN384" t="s">
        <v>74</v>
      </c>
      <c r="BO384" t="s">
        <v>74</v>
      </c>
      <c r="BP384" t="s">
        <v>74</v>
      </c>
      <c r="BQ384" t="s">
        <v>74</v>
      </c>
      <c r="BR384" t="s">
        <v>98</v>
      </c>
      <c r="BS384" t="s">
        <v>5797</v>
      </c>
      <c r="BT384" t="str">
        <f>HYPERLINK("https%3A%2F%2Fwww.webofscience.com%2Fwos%2Fwoscc%2Ffull-record%2FWOS:000224274500012","View Full Record in Web of Science")</f>
        <v>View Full Record in Web of Science</v>
      </c>
    </row>
    <row r="385" spans="1:72" x14ac:dyDescent="0.15">
      <c r="A385" t="s">
        <v>122</v>
      </c>
      <c r="B385" t="s">
        <v>5798</v>
      </c>
      <c r="C385" t="s">
        <v>74</v>
      </c>
      <c r="D385" t="s">
        <v>74</v>
      </c>
      <c r="E385" t="s">
        <v>74</v>
      </c>
      <c r="F385" t="s">
        <v>5798</v>
      </c>
      <c r="G385" t="s">
        <v>74</v>
      </c>
      <c r="H385" t="s">
        <v>74</v>
      </c>
      <c r="I385" t="s">
        <v>5799</v>
      </c>
      <c r="J385" t="s">
        <v>2993</v>
      </c>
      <c r="K385" t="s">
        <v>74</v>
      </c>
      <c r="L385" t="s">
        <v>74</v>
      </c>
      <c r="M385" t="s">
        <v>79</v>
      </c>
      <c r="N385" t="s">
        <v>126</v>
      </c>
      <c r="O385" t="s">
        <v>74</v>
      </c>
      <c r="P385" t="s">
        <v>74</v>
      </c>
      <c r="Q385" t="s">
        <v>74</v>
      </c>
      <c r="R385" t="s">
        <v>74</v>
      </c>
      <c r="S385" t="s">
        <v>74</v>
      </c>
      <c r="T385" t="s">
        <v>74</v>
      </c>
      <c r="U385" t="s">
        <v>5800</v>
      </c>
      <c r="V385" t="s">
        <v>5801</v>
      </c>
      <c r="W385" t="s">
        <v>5802</v>
      </c>
      <c r="X385" t="s">
        <v>5803</v>
      </c>
      <c r="Y385" t="s">
        <v>5804</v>
      </c>
      <c r="Z385" t="s">
        <v>5805</v>
      </c>
      <c r="AA385" t="s">
        <v>5806</v>
      </c>
      <c r="AB385" t="s">
        <v>5807</v>
      </c>
      <c r="AC385" t="s">
        <v>5808</v>
      </c>
      <c r="AD385" t="s">
        <v>5809</v>
      </c>
      <c r="AE385" t="s">
        <v>74</v>
      </c>
      <c r="AF385" t="s">
        <v>74</v>
      </c>
      <c r="AG385">
        <v>46</v>
      </c>
      <c r="AH385">
        <v>8</v>
      </c>
      <c r="AI385">
        <v>8</v>
      </c>
      <c r="AJ385">
        <v>0</v>
      </c>
      <c r="AK385">
        <v>10</v>
      </c>
      <c r="AL385" t="s">
        <v>1509</v>
      </c>
      <c r="AM385" t="s">
        <v>1510</v>
      </c>
      <c r="AN385" t="s">
        <v>1511</v>
      </c>
      <c r="AO385" t="s">
        <v>3000</v>
      </c>
      <c r="AP385" t="s">
        <v>5810</v>
      </c>
      <c r="AQ385" t="s">
        <v>74</v>
      </c>
      <c r="AR385" t="s">
        <v>2993</v>
      </c>
      <c r="AS385" t="s">
        <v>3001</v>
      </c>
      <c r="AT385" t="s">
        <v>5484</v>
      </c>
      <c r="AU385">
        <v>2004</v>
      </c>
      <c r="AV385">
        <v>66</v>
      </c>
      <c r="AW385" t="s">
        <v>2537</v>
      </c>
      <c r="AX385" t="s">
        <v>74</v>
      </c>
      <c r="AY385" t="s">
        <v>74</v>
      </c>
      <c r="AZ385" t="s">
        <v>74</v>
      </c>
      <c r="BA385" t="s">
        <v>74</v>
      </c>
      <c r="BB385">
        <v>163</v>
      </c>
      <c r="BC385">
        <v>189</v>
      </c>
      <c r="BD385" t="s">
        <v>74</v>
      </c>
      <c r="BE385" t="s">
        <v>5811</v>
      </c>
      <c r="BF385" t="str">
        <f>HYPERLINK("http://dx.doi.org/10.1023/B:CLIM.0000043143.32099.ec","http://dx.doi.org/10.1023/B:CLIM.0000043143.32099.ec")</f>
        <v>http://dx.doi.org/10.1023/B:CLIM.0000043143.32099.ec</v>
      </c>
      <c r="BG385" t="s">
        <v>74</v>
      </c>
      <c r="BH385" t="s">
        <v>74</v>
      </c>
      <c r="BI385">
        <v>27</v>
      </c>
      <c r="BJ385" t="s">
        <v>832</v>
      </c>
      <c r="BK385" t="s">
        <v>139</v>
      </c>
      <c r="BL385" t="s">
        <v>833</v>
      </c>
      <c r="BM385" t="s">
        <v>5812</v>
      </c>
      <c r="BN385" t="s">
        <v>74</v>
      </c>
      <c r="BO385" t="s">
        <v>74</v>
      </c>
      <c r="BP385" t="s">
        <v>74</v>
      </c>
      <c r="BQ385" t="s">
        <v>74</v>
      </c>
      <c r="BR385" t="s">
        <v>98</v>
      </c>
      <c r="BS385" t="s">
        <v>5813</v>
      </c>
      <c r="BT385" t="str">
        <f>HYPERLINK("https%3A%2F%2Fwww.webofscience.com%2Fwos%2Fwoscc%2Ffull-record%2FWOS:000224130900013","View Full Record in Web of Science")</f>
        <v>View Full Record in Web of Science</v>
      </c>
    </row>
    <row r="386" spans="1:72" x14ac:dyDescent="0.15">
      <c r="A386" t="s">
        <v>122</v>
      </c>
      <c r="B386" t="s">
        <v>5814</v>
      </c>
      <c r="C386" t="s">
        <v>74</v>
      </c>
      <c r="D386" t="s">
        <v>74</v>
      </c>
      <c r="E386" t="s">
        <v>74</v>
      </c>
      <c r="F386" t="s">
        <v>5814</v>
      </c>
      <c r="G386" t="s">
        <v>74</v>
      </c>
      <c r="H386" t="s">
        <v>74</v>
      </c>
      <c r="I386" t="s">
        <v>5815</v>
      </c>
      <c r="J386" t="s">
        <v>5816</v>
      </c>
      <c r="K386" t="s">
        <v>74</v>
      </c>
      <c r="L386" t="s">
        <v>74</v>
      </c>
      <c r="M386" t="s">
        <v>79</v>
      </c>
      <c r="N386" t="s">
        <v>126</v>
      </c>
      <c r="O386" t="s">
        <v>74</v>
      </c>
      <c r="P386" t="s">
        <v>74</v>
      </c>
      <c r="Q386" t="s">
        <v>74</v>
      </c>
      <c r="R386" t="s">
        <v>74</v>
      </c>
      <c r="S386" t="s">
        <v>74</v>
      </c>
      <c r="T386" t="s">
        <v>74</v>
      </c>
      <c r="U386" t="s">
        <v>5817</v>
      </c>
      <c r="V386" t="s">
        <v>5818</v>
      </c>
      <c r="W386" t="s">
        <v>5819</v>
      </c>
      <c r="X386" t="s">
        <v>5820</v>
      </c>
      <c r="Y386" t="s">
        <v>5821</v>
      </c>
      <c r="Z386" t="s">
        <v>5822</v>
      </c>
      <c r="AA386" t="s">
        <v>5823</v>
      </c>
      <c r="AB386" t="s">
        <v>5824</v>
      </c>
      <c r="AC386" t="s">
        <v>74</v>
      </c>
      <c r="AD386" t="s">
        <v>74</v>
      </c>
      <c r="AE386" t="s">
        <v>74</v>
      </c>
      <c r="AF386" t="s">
        <v>74</v>
      </c>
      <c r="AG386">
        <v>42</v>
      </c>
      <c r="AH386">
        <v>24</v>
      </c>
      <c r="AI386">
        <v>27</v>
      </c>
      <c r="AJ386">
        <v>0</v>
      </c>
      <c r="AK386">
        <v>2</v>
      </c>
      <c r="AL386" t="s">
        <v>5697</v>
      </c>
      <c r="AM386" t="s">
        <v>5698</v>
      </c>
      <c r="AN386" t="s">
        <v>5699</v>
      </c>
      <c r="AO386" t="s">
        <v>5825</v>
      </c>
      <c r="AP386" t="s">
        <v>74</v>
      </c>
      <c r="AQ386" t="s">
        <v>74</v>
      </c>
      <c r="AR386" t="s">
        <v>5826</v>
      </c>
      <c r="AS386" t="s">
        <v>5827</v>
      </c>
      <c r="AT386" t="s">
        <v>5703</v>
      </c>
      <c r="AU386">
        <v>2004</v>
      </c>
      <c r="AV386">
        <v>6</v>
      </c>
      <c r="AW386">
        <v>3</v>
      </c>
      <c r="AX386" t="s">
        <v>74</v>
      </c>
      <c r="AY386" t="s">
        <v>74</v>
      </c>
      <c r="AZ386" t="s">
        <v>74</v>
      </c>
      <c r="BA386" t="s">
        <v>74</v>
      </c>
      <c r="BB386">
        <v>284</v>
      </c>
      <c r="BC386">
        <v>293</v>
      </c>
      <c r="BD386" t="s">
        <v>74</v>
      </c>
      <c r="BE386" t="s">
        <v>5828</v>
      </c>
      <c r="BF386" t="str">
        <f>HYPERLINK("http://dx.doi.org/10.1089/clo.2004.6.284","http://dx.doi.org/10.1089/clo.2004.6.284")</f>
        <v>http://dx.doi.org/10.1089/clo.2004.6.284</v>
      </c>
      <c r="BG386" t="s">
        <v>74</v>
      </c>
      <c r="BH386" t="s">
        <v>74</v>
      </c>
      <c r="BI386">
        <v>10</v>
      </c>
      <c r="BJ386" t="s">
        <v>5829</v>
      </c>
      <c r="BK386" t="s">
        <v>139</v>
      </c>
      <c r="BL386" t="s">
        <v>5830</v>
      </c>
      <c r="BM386" t="s">
        <v>5831</v>
      </c>
      <c r="BN386">
        <v>15671674</v>
      </c>
      <c r="BO386" t="s">
        <v>74</v>
      </c>
      <c r="BP386" t="s">
        <v>74</v>
      </c>
      <c r="BQ386" t="s">
        <v>74</v>
      </c>
      <c r="BR386" t="s">
        <v>98</v>
      </c>
      <c r="BS386" t="s">
        <v>5832</v>
      </c>
      <c r="BT386" t="str">
        <f>HYPERLINK("https%3A%2F%2Fwww.webofscience.com%2Fwos%2Fwoscc%2Ffull-record%2FWOS:000224512700007","View Full Record in Web of Science")</f>
        <v>View Full Record in Web of Science</v>
      </c>
    </row>
    <row r="387" spans="1:72" x14ac:dyDescent="0.15">
      <c r="A387" t="s">
        <v>122</v>
      </c>
      <c r="B387" t="s">
        <v>5833</v>
      </c>
      <c r="C387" t="s">
        <v>74</v>
      </c>
      <c r="D387" t="s">
        <v>74</v>
      </c>
      <c r="E387" t="s">
        <v>74</v>
      </c>
      <c r="F387" t="s">
        <v>5833</v>
      </c>
      <c r="G387" t="s">
        <v>74</v>
      </c>
      <c r="H387" t="s">
        <v>74</v>
      </c>
      <c r="I387" t="s">
        <v>5834</v>
      </c>
      <c r="J387" t="s">
        <v>5835</v>
      </c>
      <c r="K387" t="s">
        <v>74</v>
      </c>
      <c r="L387" t="s">
        <v>74</v>
      </c>
      <c r="M387" t="s">
        <v>79</v>
      </c>
      <c r="N387" t="s">
        <v>126</v>
      </c>
      <c r="O387" t="s">
        <v>74</v>
      </c>
      <c r="P387" t="s">
        <v>74</v>
      </c>
      <c r="Q387" t="s">
        <v>74</v>
      </c>
      <c r="R387" t="s">
        <v>74</v>
      </c>
      <c r="S387" t="s">
        <v>74</v>
      </c>
      <c r="T387" t="s">
        <v>5836</v>
      </c>
      <c r="U387" t="s">
        <v>5837</v>
      </c>
      <c r="V387" t="s">
        <v>5838</v>
      </c>
      <c r="W387" t="s">
        <v>5839</v>
      </c>
      <c r="X387" t="s">
        <v>5840</v>
      </c>
      <c r="Y387" t="s">
        <v>5841</v>
      </c>
      <c r="Z387" t="s">
        <v>5842</v>
      </c>
      <c r="AA387" t="s">
        <v>74</v>
      </c>
      <c r="AB387" t="s">
        <v>5843</v>
      </c>
      <c r="AC387" t="s">
        <v>74</v>
      </c>
      <c r="AD387" t="s">
        <v>74</v>
      </c>
      <c r="AE387" t="s">
        <v>74</v>
      </c>
      <c r="AF387" t="s">
        <v>74</v>
      </c>
      <c r="AG387">
        <v>61</v>
      </c>
      <c r="AH387">
        <v>31</v>
      </c>
      <c r="AI387">
        <v>31</v>
      </c>
      <c r="AJ387">
        <v>0</v>
      </c>
      <c r="AK387">
        <v>12</v>
      </c>
      <c r="AL387" t="s">
        <v>612</v>
      </c>
      <c r="AM387" t="s">
        <v>613</v>
      </c>
      <c r="AN387" t="s">
        <v>614</v>
      </c>
      <c r="AO387" t="s">
        <v>5844</v>
      </c>
      <c r="AP387" t="s">
        <v>5845</v>
      </c>
      <c r="AQ387" t="s">
        <v>74</v>
      </c>
      <c r="AR387" t="s">
        <v>5846</v>
      </c>
      <c r="AS387" t="s">
        <v>5847</v>
      </c>
      <c r="AT387" t="s">
        <v>5484</v>
      </c>
      <c r="AU387">
        <v>2004</v>
      </c>
      <c r="AV387">
        <v>139</v>
      </c>
      <c r="AW387">
        <v>1</v>
      </c>
      <c r="AX387" t="s">
        <v>74</v>
      </c>
      <c r="AY387" t="s">
        <v>74</v>
      </c>
      <c r="AZ387" t="s">
        <v>74</v>
      </c>
      <c r="BA387" t="s">
        <v>74</v>
      </c>
      <c r="BB387">
        <v>1</v>
      </c>
      <c r="BC387">
        <v>9</v>
      </c>
      <c r="BD387" t="s">
        <v>74</v>
      </c>
      <c r="BE387" t="s">
        <v>5848</v>
      </c>
      <c r="BF387" t="str">
        <f>HYPERLINK("http://dx.doi.org/10.1016/j.cbpb.2004.02.015","http://dx.doi.org/10.1016/j.cbpb.2004.02.015")</f>
        <v>http://dx.doi.org/10.1016/j.cbpb.2004.02.015</v>
      </c>
      <c r="BG387" t="s">
        <v>74</v>
      </c>
      <c r="BH387" t="s">
        <v>74</v>
      </c>
      <c r="BI387">
        <v>9</v>
      </c>
      <c r="BJ387" t="s">
        <v>5849</v>
      </c>
      <c r="BK387" t="s">
        <v>139</v>
      </c>
      <c r="BL387" t="s">
        <v>5849</v>
      </c>
      <c r="BM387" t="s">
        <v>5850</v>
      </c>
      <c r="BN387">
        <v>15471675</v>
      </c>
      <c r="BO387" t="s">
        <v>74</v>
      </c>
      <c r="BP387" t="s">
        <v>74</v>
      </c>
      <c r="BQ387" t="s">
        <v>74</v>
      </c>
      <c r="BR387" t="s">
        <v>98</v>
      </c>
      <c r="BS387" t="s">
        <v>5851</v>
      </c>
      <c r="BT387" t="str">
        <f>HYPERLINK("https%3A%2F%2Fwww.webofscience.com%2Fwos%2Fwoscc%2Ffull-record%2FWOS:000224664200001","View Full Record in Web of Science")</f>
        <v>View Full Record in Web of Science</v>
      </c>
    </row>
    <row r="388" spans="1:72" x14ac:dyDescent="0.15">
      <c r="A388" t="s">
        <v>122</v>
      </c>
      <c r="B388" t="s">
        <v>5852</v>
      </c>
      <c r="C388" t="s">
        <v>74</v>
      </c>
      <c r="D388" t="s">
        <v>74</v>
      </c>
      <c r="E388" t="s">
        <v>74</v>
      </c>
      <c r="F388" t="s">
        <v>5852</v>
      </c>
      <c r="G388" t="s">
        <v>74</v>
      </c>
      <c r="H388" t="s">
        <v>74</v>
      </c>
      <c r="I388" t="s">
        <v>5853</v>
      </c>
      <c r="J388" t="s">
        <v>3045</v>
      </c>
      <c r="K388" t="s">
        <v>74</v>
      </c>
      <c r="L388" t="s">
        <v>74</v>
      </c>
      <c r="M388" t="s">
        <v>79</v>
      </c>
      <c r="N388" t="s">
        <v>126</v>
      </c>
      <c r="O388" t="s">
        <v>74</v>
      </c>
      <c r="P388" t="s">
        <v>74</v>
      </c>
      <c r="Q388" t="s">
        <v>74</v>
      </c>
      <c r="R388" t="s">
        <v>74</v>
      </c>
      <c r="S388" t="s">
        <v>74</v>
      </c>
      <c r="T388" t="s">
        <v>5854</v>
      </c>
      <c r="U388" t="s">
        <v>5855</v>
      </c>
      <c r="V388" t="s">
        <v>5856</v>
      </c>
      <c r="W388" t="s">
        <v>5857</v>
      </c>
      <c r="X388" t="s">
        <v>5858</v>
      </c>
      <c r="Y388" t="s">
        <v>5859</v>
      </c>
      <c r="Z388" t="s">
        <v>5860</v>
      </c>
      <c r="AA388" t="s">
        <v>74</v>
      </c>
      <c r="AB388" t="s">
        <v>74</v>
      </c>
      <c r="AC388" t="s">
        <v>74</v>
      </c>
      <c r="AD388" t="s">
        <v>74</v>
      </c>
      <c r="AE388" t="s">
        <v>74</v>
      </c>
      <c r="AF388" t="s">
        <v>74</v>
      </c>
      <c r="AG388">
        <v>27</v>
      </c>
      <c r="AH388">
        <v>12</v>
      </c>
      <c r="AI388">
        <v>12</v>
      </c>
      <c r="AJ388">
        <v>0</v>
      </c>
      <c r="AK388">
        <v>9</v>
      </c>
      <c r="AL388" t="s">
        <v>612</v>
      </c>
      <c r="AM388" t="s">
        <v>613</v>
      </c>
      <c r="AN388" t="s">
        <v>3072</v>
      </c>
      <c r="AO388" t="s">
        <v>3054</v>
      </c>
      <c r="AP388" t="s">
        <v>3055</v>
      </c>
      <c r="AQ388" t="s">
        <v>74</v>
      </c>
      <c r="AR388" t="s">
        <v>3056</v>
      </c>
      <c r="AS388" t="s">
        <v>3057</v>
      </c>
      <c r="AT388" t="s">
        <v>5484</v>
      </c>
      <c r="AU388">
        <v>2004</v>
      </c>
      <c r="AV388">
        <v>139</v>
      </c>
      <c r="AW388">
        <v>1</v>
      </c>
      <c r="AX388" t="s">
        <v>74</v>
      </c>
      <c r="AY388" t="s">
        <v>74</v>
      </c>
      <c r="AZ388" t="s">
        <v>74</v>
      </c>
      <c r="BA388" t="s">
        <v>74</v>
      </c>
      <c r="BB388">
        <v>53</v>
      </c>
      <c r="BC388">
        <v>63</v>
      </c>
      <c r="BD388" t="s">
        <v>74</v>
      </c>
      <c r="BE388" t="s">
        <v>5861</v>
      </c>
      <c r="BF388" t="str">
        <f>HYPERLINK("http://dx.doi.org/10.1016/j.cbpc.2004.06.005","http://dx.doi.org/10.1016/j.cbpc.2004.06.005")</f>
        <v>http://dx.doi.org/10.1016/j.cbpc.2004.06.005</v>
      </c>
      <c r="BG388" t="s">
        <v>74</v>
      </c>
      <c r="BH388" t="s">
        <v>74</v>
      </c>
      <c r="BI388">
        <v>11</v>
      </c>
      <c r="BJ388" t="s">
        <v>3059</v>
      </c>
      <c r="BK388" t="s">
        <v>139</v>
      </c>
      <c r="BL388" t="s">
        <v>3059</v>
      </c>
      <c r="BM388" t="s">
        <v>5862</v>
      </c>
      <c r="BN388">
        <v>15364288</v>
      </c>
      <c r="BO388" t="s">
        <v>74</v>
      </c>
      <c r="BP388" t="s">
        <v>74</v>
      </c>
      <c r="BQ388" t="s">
        <v>74</v>
      </c>
      <c r="BR388" t="s">
        <v>98</v>
      </c>
      <c r="BS388" t="s">
        <v>5863</v>
      </c>
      <c r="BT388" t="str">
        <f>HYPERLINK("https%3A%2F%2Fwww.webofscience.com%2Fwos%2Fwoscc%2Ffull-record%2FWOS:000224171000006","View Full Record in Web of Science")</f>
        <v>View Full Record in Web of Science</v>
      </c>
    </row>
    <row r="389" spans="1:72" x14ac:dyDescent="0.15">
      <c r="A389" t="s">
        <v>122</v>
      </c>
      <c r="B389" t="s">
        <v>3504</v>
      </c>
      <c r="C389" t="s">
        <v>74</v>
      </c>
      <c r="D389" t="s">
        <v>74</v>
      </c>
      <c r="E389" t="s">
        <v>74</v>
      </c>
      <c r="F389" t="s">
        <v>3504</v>
      </c>
      <c r="G389" t="s">
        <v>74</v>
      </c>
      <c r="H389" t="s">
        <v>74</v>
      </c>
      <c r="I389" t="s">
        <v>5864</v>
      </c>
      <c r="J389" t="s">
        <v>3045</v>
      </c>
      <c r="K389" t="s">
        <v>74</v>
      </c>
      <c r="L389" t="s">
        <v>74</v>
      </c>
      <c r="M389" t="s">
        <v>79</v>
      </c>
      <c r="N389" t="s">
        <v>52</v>
      </c>
      <c r="O389" t="s">
        <v>74</v>
      </c>
      <c r="P389" t="s">
        <v>74</v>
      </c>
      <c r="Q389" t="s">
        <v>74</v>
      </c>
      <c r="R389" t="s">
        <v>74</v>
      </c>
      <c r="S389" t="s">
        <v>74</v>
      </c>
      <c r="T389" t="s">
        <v>74</v>
      </c>
      <c r="U389" t="s">
        <v>74</v>
      </c>
      <c r="V389" t="s">
        <v>74</v>
      </c>
      <c r="W389" t="s">
        <v>74</v>
      </c>
      <c r="X389" t="s">
        <v>74</v>
      </c>
      <c r="Y389" t="s">
        <v>5865</v>
      </c>
      <c r="Z389" t="s">
        <v>74</v>
      </c>
      <c r="AA389" t="s">
        <v>74</v>
      </c>
      <c r="AB389" t="s">
        <v>74</v>
      </c>
      <c r="AC389" t="s">
        <v>74</v>
      </c>
      <c r="AD389" t="s">
        <v>74</v>
      </c>
      <c r="AE389" t="s">
        <v>74</v>
      </c>
      <c r="AF389" t="s">
        <v>74</v>
      </c>
      <c r="AG389">
        <v>0</v>
      </c>
      <c r="AH389">
        <v>0</v>
      </c>
      <c r="AI389">
        <v>0</v>
      </c>
      <c r="AJ389">
        <v>0</v>
      </c>
      <c r="AK389">
        <v>0</v>
      </c>
      <c r="AL389" t="s">
        <v>612</v>
      </c>
      <c r="AM389" t="s">
        <v>613</v>
      </c>
      <c r="AN389" t="s">
        <v>614</v>
      </c>
      <c r="AO389" t="s">
        <v>3054</v>
      </c>
      <c r="AP389" t="s">
        <v>74</v>
      </c>
      <c r="AQ389" t="s">
        <v>74</v>
      </c>
      <c r="AR389" t="s">
        <v>3056</v>
      </c>
      <c r="AS389" t="s">
        <v>3057</v>
      </c>
      <c r="AT389" t="s">
        <v>5484</v>
      </c>
      <c r="AU389">
        <v>2004</v>
      </c>
      <c r="AV389">
        <v>139</v>
      </c>
      <c r="AW389">
        <v>1</v>
      </c>
      <c r="AX389" t="s">
        <v>74</v>
      </c>
      <c r="AY389" t="s">
        <v>74</v>
      </c>
      <c r="AZ389" t="s">
        <v>74</v>
      </c>
      <c r="BA389" t="s">
        <v>74</v>
      </c>
      <c r="BB389">
        <v>145</v>
      </c>
      <c r="BC389">
        <v>145</v>
      </c>
      <c r="BD389" t="s">
        <v>74</v>
      </c>
      <c r="BE389" t="s">
        <v>74</v>
      </c>
      <c r="BF389" t="s">
        <v>74</v>
      </c>
      <c r="BG389" t="s">
        <v>74</v>
      </c>
      <c r="BH389" t="s">
        <v>74</v>
      </c>
      <c r="BI389">
        <v>1</v>
      </c>
      <c r="BJ389" t="s">
        <v>3059</v>
      </c>
      <c r="BK389" t="s">
        <v>139</v>
      </c>
      <c r="BL389" t="s">
        <v>3059</v>
      </c>
      <c r="BM389" t="s">
        <v>5862</v>
      </c>
      <c r="BN389" t="s">
        <v>74</v>
      </c>
      <c r="BO389" t="s">
        <v>74</v>
      </c>
      <c r="BP389" t="s">
        <v>74</v>
      </c>
      <c r="BQ389" t="s">
        <v>74</v>
      </c>
      <c r="BR389" t="s">
        <v>98</v>
      </c>
      <c r="BS389" t="s">
        <v>5866</v>
      </c>
      <c r="BT389" t="str">
        <f>HYPERLINK("https%3A%2F%2Fwww.webofscience.com%2Fwos%2Fwoscc%2Ffull-record%2FWOS:000224171000046","View Full Record in Web of Science")</f>
        <v>View Full Record in Web of Science</v>
      </c>
    </row>
    <row r="390" spans="1:72" x14ac:dyDescent="0.15">
      <c r="A390" t="s">
        <v>122</v>
      </c>
      <c r="B390" t="s">
        <v>5867</v>
      </c>
      <c r="C390" t="s">
        <v>74</v>
      </c>
      <c r="D390" t="s">
        <v>74</v>
      </c>
      <c r="E390" t="s">
        <v>74</v>
      </c>
      <c r="F390" t="s">
        <v>5867</v>
      </c>
      <c r="G390" t="s">
        <v>74</v>
      </c>
      <c r="H390" t="s">
        <v>5868</v>
      </c>
      <c r="I390" t="s">
        <v>5869</v>
      </c>
      <c r="J390" t="s">
        <v>5870</v>
      </c>
      <c r="K390" t="s">
        <v>74</v>
      </c>
      <c r="L390" t="s">
        <v>74</v>
      </c>
      <c r="M390" t="s">
        <v>79</v>
      </c>
      <c r="N390" t="s">
        <v>126</v>
      </c>
      <c r="O390" t="s">
        <v>74</v>
      </c>
      <c r="P390" t="s">
        <v>74</v>
      </c>
      <c r="Q390" t="s">
        <v>74</v>
      </c>
      <c r="R390" t="s">
        <v>74</v>
      </c>
      <c r="S390" t="s">
        <v>74</v>
      </c>
      <c r="T390" t="s">
        <v>74</v>
      </c>
      <c r="U390" t="s">
        <v>5871</v>
      </c>
      <c r="V390" t="s">
        <v>5872</v>
      </c>
      <c r="W390" t="s">
        <v>5873</v>
      </c>
      <c r="X390" t="s">
        <v>5874</v>
      </c>
      <c r="Y390" t="s">
        <v>5875</v>
      </c>
      <c r="Z390" t="s">
        <v>74</v>
      </c>
      <c r="AA390" t="s">
        <v>5876</v>
      </c>
      <c r="AB390" t="s">
        <v>5877</v>
      </c>
      <c r="AC390" t="s">
        <v>74</v>
      </c>
      <c r="AD390" t="s">
        <v>74</v>
      </c>
      <c r="AE390" t="s">
        <v>74</v>
      </c>
      <c r="AF390" t="s">
        <v>74</v>
      </c>
      <c r="AG390">
        <v>55</v>
      </c>
      <c r="AH390">
        <v>51</v>
      </c>
      <c r="AI390">
        <v>52</v>
      </c>
      <c r="AJ390">
        <v>0</v>
      </c>
      <c r="AK390">
        <v>8</v>
      </c>
      <c r="AL390" t="s">
        <v>1229</v>
      </c>
      <c r="AM390" t="s">
        <v>613</v>
      </c>
      <c r="AN390" t="s">
        <v>1230</v>
      </c>
      <c r="AO390" t="s">
        <v>5878</v>
      </c>
      <c r="AP390" t="s">
        <v>5879</v>
      </c>
      <c r="AQ390" t="s">
        <v>74</v>
      </c>
      <c r="AR390" t="s">
        <v>5880</v>
      </c>
      <c r="AS390" t="s">
        <v>5881</v>
      </c>
      <c r="AT390" t="s">
        <v>5882</v>
      </c>
      <c r="AU390">
        <v>2004</v>
      </c>
      <c r="AV390">
        <v>42</v>
      </c>
      <c r="AW390">
        <v>5</v>
      </c>
      <c r="AX390" t="s">
        <v>74</v>
      </c>
      <c r="AY390" t="s">
        <v>74</v>
      </c>
      <c r="AZ390" t="s">
        <v>74</v>
      </c>
      <c r="BA390" t="s">
        <v>74</v>
      </c>
      <c r="BB390">
        <v>489</v>
      </c>
      <c r="BC390">
        <v>534</v>
      </c>
      <c r="BD390" t="s">
        <v>74</v>
      </c>
      <c r="BE390" t="s">
        <v>74</v>
      </c>
      <c r="BF390" t="s">
        <v>74</v>
      </c>
      <c r="BG390" t="s">
        <v>74</v>
      </c>
      <c r="BH390" t="s">
        <v>74</v>
      </c>
      <c r="BI390">
        <v>46</v>
      </c>
      <c r="BJ390" t="s">
        <v>5883</v>
      </c>
      <c r="BK390" t="s">
        <v>139</v>
      </c>
      <c r="BL390" t="s">
        <v>5884</v>
      </c>
      <c r="BM390" t="s">
        <v>5885</v>
      </c>
      <c r="BN390" t="s">
        <v>74</v>
      </c>
      <c r="BO390" t="s">
        <v>74</v>
      </c>
      <c r="BP390" t="s">
        <v>74</v>
      </c>
      <c r="BQ390" t="s">
        <v>74</v>
      </c>
      <c r="BR390" t="s">
        <v>98</v>
      </c>
      <c r="BS390" t="s">
        <v>5886</v>
      </c>
      <c r="BT390" t="str">
        <f>HYPERLINK("https%3A%2F%2Fwww.webofscience.com%2Fwos%2Fwoscc%2Ffull-record%2FWOS:000225210300003","View Full Record in Web of Science")</f>
        <v>View Full Record in Web of Science</v>
      </c>
    </row>
    <row r="391" spans="1:72" x14ac:dyDescent="0.15">
      <c r="A391" t="s">
        <v>122</v>
      </c>
      <c r="B391" t="s">
        <v>5887</v>
      </c>
      <c r="C391" t="s">
        <v>74</v>
      </c>
      <c r="D391" t="s">
        <v>74</v>
      </c>
      <c r="E391" t="s">
        <v>74</v>
      </c>
      <c r="F391" t="s">
        <v>5887</v>
      </c>
      <c r="G391" t="s">
        <v>74</v>
      </c>
      <c r="H391" t="s">
        <v>74</v>
      </c>
      <c r="I391" t="s">
        <v>5888</v>
      </c>
      <c r="J391" t="s">
        <v>5889</v>
      </c>
      <c r="K391" t="s">
        <v>74</v>
      </c>
      <c r="L391" t="s">
        <v>74</v>
      </c>
      <c r="M391" t="s">
        <v>79</v>
      </c>
      <c r="N391" t="s">
        <v>126</v>
      </c>
      <c r="O391" t="s">
        <v>74</v>
      </c>
      <c r="P391" t="s">
        <v>74</v>
      </c>
      <c r="Q391" t="s">
        <v>74</v>
      </c>
      <c r="R391" t="s">
        <v>74</v>
      </c>
      <c r="S391" t="s">
        <v>74</v>
      </c>
      <c r="T391" t="s">
        <v>74</v>
      </c>
      <c r="U391" t="s">
        <v>5890</v>
      </c>
      <c r="V391" t="s">
        <v>5891</v>
      </c>
      <c r="W391" t="s">
        <v>5892</v>
      </c>
      <c r="X391" t="s">
        <v>5893</v>
      </c>
      <c r="Y391" t="s">
        <v>5894</v>
      </c>
      <c r="Z391" t="s">
        <v>5895</v>
      </c>
      <c r="AA391" t="s">
        <v>74</v>
      </c>
      <c r="AB391" t="s">
        <v>5896</v>
      </c>
      <c r="AC391" t="s">
        <v>74</v>
      </c>
      <c r="AD391" t="s">
        <v>74</v>
      </c>
      <c r="AE391" t="s">
        <v>74</v>
      </c>
      <c r="AF391" t="s">
        <v>74</v>
      </c>
      <c r="AG391">
        <v>38</v>
      </c>
      <c r="AH391">
        <v>12</v>
      </c>
      <c r="AI391">
        <v>12</v>
      </c>
      <c r="AJ391">
        <v>0</v>
      </c>
      <c r="AK391">
        <v>18</v>
      </c>
      <c r="AL391" t="s">
        <v>5897</v>
      </c>
      <c r="AM391" t="s">
        <v>5898</v>
      </c>
      <c r="AN391" t="s">
        <v>5899</v>
      </c>
      <c r="AO391" t="s">
        <v>5900</v>
      </c>
      <c r="AP391" t="s">
        <v>5901</v>
      </c>
      <c r="AQ391" t="s">
        <v>74</v>
      </c>
      <c r="AR391" t="s">
        <v>5889</v>
      </c>
      <c r="AS391" t="s">
        <v>5902</v>
      </c>
      <c r="AT391" t="s">
        <v>5484</v>
      </c>
      <c r="AU391">
        <v>2004</v>
      </c>
      <c r="AV391">
        <v>77</v>
      </c>
      <c r="AW391" t="s">
        <v>74</v>
      </c>
      <c r="AX391">
        <v>8</v>
      </c>
      <c r="AY391" t="s">
        <v>74</v>
      </c>
      <c r="AZ391" t="s">
        <v>74</v>
      </c>
      <c r="BA391" t="s">
        <v>74</v>
      </c>
      <c r="BB391">
        <v>897</v>
      </c>
      <c r="BC391">
        <v>908</v>
      </c>
      <c r="BD391" t="s">
        <v>74</v>
      </c>
      <c r="BE391" t="s">
        <v>5903</v>
      </c>
      <c r="BF391" t="str">
        <f>HYPERLINK("http://dx.doi.org/10.1163/1568540042781711","http://dx.doi.org/10.1163/1568540042781711")</f>
        <v>http://dx.doi.org/10.1163/1568540042781711</v>
      </c>
      <c r="BG391" t="s">
        <v>74</v>
      </c>
      <c r="BH391" t="s">
        <v>74</v>
      </c>
      <c r="BI391">
        <v>12</v>
      </c>
      <c r="BJ391" t="s">
        <v>1763</v>
      </c>
      <c r="BK391" t="s">
        <v>139</v>
      </c>
      <c r="BL391" t="s">
        <v>1763</v>
      </c>
      <c r="BM391" t="s">
        <v>5904</v>
      </c>
      <c r="BN391" t="s">
        <v>74</v>
      </c>
      <c r="BO391" t="s">
        <v>273</v>
      </c>
      <c r="BP391" t="s">
        <v>74</v>
      </c>
      <c r="BQ391" t="s">
        <v>74</v>
      </c>
      <c r="BR391" t="s">
        <v>98</v>
      </c>
      <c r="BS391" t="s">
        <v>5905</v>
      </c>
      <c r="BT391" t="str">
        <f>HYPERLINK("https%3A%2F%2Fwww.webofscience.com%2Fwos%2Fwoscc%2Ffull-record%2FWOS:000226164200001","View Full Record in Web of Science")</f>
        <v>View Full Record in Web of Science</v>
      </c>
    </row>
    <row r="392" spans="1:72" x14ac:dyDescent="0.15">
      <c r="A392" t="s">
        <v>122</v>
      </c>
      <c r="B392" t="s">
        <v>5906</v>
      </c>
      <c r="C392" t="s">
        <v>74</v>
      </c>
      <c r="D392" t="s">
        <v>74</v>
      </c>
      <c r="E392" t="s">
        <v>74</v>
      </c>
      <c r="F392" t="s">
        <v>5906</v>
      </c>
      <c r="G392" t="s">
        <v>74</v>
      </c>
      <c r="H392" t="s">
        <v>74</v>
      </c>
      <c r="I392" t="s">
        <v>5907</v>
      </c>
      <c r="J392" t="s">
        <v>5908</v>
      </c>
      <c r="K392" t="s">
        <v>74</v>
      </c>
      <c r="L392" t="s">
        <v>74</v>
      </c>
      <c r="M392" t="s">
        <v>79</v>
      </c>
      <c r="N392" t="s">
        <v>126</v>
      </c>
      <c r="O392" t="s">
        <v>74</v>
      </c>
      <c r="P392" t="s">
        <v>74</v>
      </c>
      <c r="Q392" t="s">
        <v>74</v>
      </c>
      <c r="R392" t="s">
        <v>74</v>
      </c>
      <c r="S392" t="s">
        <v>74</v>
      </c>
      <c r="T392" t="s">
        <v>5909</v>
      </c>
      <c r="U392" t="s">
        <v>5910</v>
      </c>
      <c r="V392" t="s">
        <v>5911</v>
      </c>
      <c r="W392" t="s">
        <v>5912</v>
      </c>
      <c r="X392" t="s">
        <v>5913</v>
      </c>
      <c r="Y392" t="s">
        <v>5914</v>
      </c>
      <c r="Z392" t="s">
        <v>74</v>
      </c>
      <c r="AA392" t="s">
        <v>74</v>
      </c>
      <c r="AB392" t="s">
        <v>74</v>
      </c>
      <c r="AC392" t="s">
        <v>74</v>
      </c>
      <c r="AD392" t="s">
        <v>74</v>
      </c>
      <c r="AE392" t="s">
        <v>74</v>
      </c>
      <c r="AF392" t="s">
        <v>74</v>
      </c>
      <c r="AG392">
        <v>16</v>
      </c>
      <c r="AH392">
        <v>19</v>
      </c>
      <c r="AI392">
        <v>21</v>
      </c>
      <c r="AJ392">
        <v>0</v>
      </c>
      <c r="AK392">
        <v>11</v>
      </c>
      <c r="AL392" t="s">
        <v>5915</v>
      </c>
      <c r="AM392" t="s">
        <v>375</v>
      </c>
      <c r="AN392" t="s">
        <v>5916</v>
      </c>
      <c r="AO392" t="s">
        <v>5917</v>
      </c>
      <c r="AP392" t="s">
        <v>74</v>
      </c>
      <c r="AQ392" t="s">
        <v>74</v>
      </c>
      <c r="AR392" t="s">
        <v>5908</v>
      </c>
      <c r="AS392" t="s">
        <v>5918</v>
      </c>
      <c r="AT392" t="s">
        <v>5882</v>
      </c>
      <c r="AU392">
        <v>2004</v>
      </c>
      <c r="AV392">
        <v>25</v>
      </c>
      <c r="AW392">
        <v>5</v>
      </c>
      <c r="AX392" t="s">
        <v>74</v>
      </c>
      <c r="AY392" t="s">
        <v>74</v>
      </c>
      <c r="AZ392" t="s">
        <v>74</v>
      </c>
      <c r="BA392" t="s">
        <v>74</v>
      </c>
      <c r="BB392">
        <v>307</v>
      </c>
      <c r="BC392">
        <v>310</v>
      </c>
      <c r="BD392" t="s">
        <v>74</v>
      </c>
      <c r="BE392" t="s">
        <v>74</v>
      </c>
      <c r="BF392" t="s">
        <v>74</v>
      </c>
      <c r="BG392" t="s">
        <v>74</v>
      </c>
      <c r="BH392" t="s">
        <v>74</v>
      </c>
      <c r="BI392">
        <v>4</v>
      </c>
      <c r="BJ392" t="s">
        <v>5919</v>
      </c>
      <c r="BK392" t="s">
        <v>139</v>
      </c>
      <c r="BL392" t="s">
        <v>5920</v>
      </c>
      <c r="BM392" t="s">
        <v>5921</v>
      </c>
      <c r="BN392">
        <v>15618982</v>
      </c>
      <c r="BO392" t="s">
        <v>74</v>
      </c>
      <c r="BP392" t="s">
        <v>74</v>
      </c>
      <c r="BQ392" t="s">
        <v>74</v>
      </c>
      <c r="BR392" t="s">
        <v>98</v>
      </c>
      <c r="BS392" t="s">
        <v>5922</v>
      </c>
      <c r="BT392" t="str">
        <f>HYPERLINK("https%3A%2F%2Fwww.webofscience.com%2Fwos%2Fwoscc%2Ffull-record%2FWOS:000225101100001","View Full Record in Web of Science")</f>
        <v>View Full Record in Web of Science</v>
      </c>
    </row>
    <row r="393" spans="1:72" x14ac:dyDescent="0.15">
      <c r="A393" t="s">
        <v>122</v>
      </c>
      <c r="B393" t="s">
        <v>5923</v>
      </c>
      <c r="C393" t="s">
        <v>74</v>
      </c>
      <c r="D393" t="s">
        <v>74</v>
      </c>
      <c r="E393" t="s">
        <v>74</v>
      </c>
      <c r="F393" t="s">
        <v>5923</v>
      </c>
      <c r="G393" t="s">
        <v>74</v>
      </c>
      <c r="H393" t="s">
        <v>74</v>
      </c>
      <c r="I393" t="s">
        <v>5924</v>
      </c>
      <c r="J393" t="s">
        <v>5925</v>
      </c>
      <c r="K393" t="s">
        <v>74</v>
      </c>
      <c r="L393" t="s">
        <v>74</v>
      </c>
      <c r="M393" t="s">
        <v>79</v>
      </c>
      <c r="N393" t="s">
        <v>126</v>
      </c>
      <c r="O393" t="s">
        <v>74</v>
      </c>
      <c r="P393" t="s">
        <v>74</v>
      </c>
      <c r="Q393" t="s">
        <v>74</v>
      </c>
      <c r="R393" t="s">
        <v>74</v>
      </c>
      <c r="S393" t="s">
        <v>74</v>
      </c>
      <c r="T393" t="s">
        <v>74</v>
      </c>
      <c r="U393" t="s">
        <v>5926</v>
      </c>
      <c r="V393" t="s">
        <v>5927</v>
      </c>
      <c r="W393" t="s">
        <v>5928</v>
      </c>
      <c r="X393" t="s">
        <v>5929</v>
      </c>
      <c r="Y393" t="s">
        <v>5930</v>
      </c>
      <c r="Z393" t="s">
        <v>5931</v>
      </c>
      <c r="AA393" t="s">
        <v>5932</v>
      </c>
      <c r="AB393" t="s">
        <v>5933</v>
      </c>
      <c r="AC393" t="s">
        <v>74</v>
      </c>
      <c r="AD393" t="s">
        <v>74</v>
      </c>
      <c r="AE393" t="s">
        <v>74</v>
      </c>
      <c r="AF393" t="s">
        <v>74</v>
      </c>
      <c r="AG393">
        <v>22</v>
      </c>
      <c r="AH393">
        <v>78</v>
      </c>
      <c r="AI393">
        <v>83</v>
      </c>
      <c r="AJ393">
        <v>0</v>
      </c>
      <c r="AK393">
        <v>9</v>
      </c>
      <c r="AL393" t="s">
        <v>1509</v>
      </c>
      <c r="AM393" t="s">
        <v>613</v>
      </c>
      <c r="AN393" t="s">
        <v>1821</v>
      </c>
      <c r="AO393" t="s">
        <v>5934</v>
      </c>
      <c r="AP393" t="s">
        <v>5935</v>
      </c>
      <c r="AQ393" t="s">
        <v>74</v>
      </c>
      <c r="AR393" t="s">
        <v>5936</v>
      </c>
      <c r="AS393" t="s">
        <v>5937</v>
      </c>
      <c r="AT393" t="s">
        <v>5484</v>
      </c>
      <c r="AU393">
        <v>2004</v>
      </c>
      <c r="AV393">
        <v>49</v>
      </c>
      <c r="AW393">
        <v>3</v>
      </c>
      <c r="AX393" t="s">
        <v>74</v>
      </c>
      <c r="AY393" t="s">
        <v>74</v>
      </c>
      <c r="AZ393" t="s">
        <v>74</v>
      </c>
      <c r="BA393" t="s">
        <v>74</v>
      </c>
      <c r="BB393">
        <v>170</v>
      </c>
      <c r="BC393">
        <v>174</v>
      </c>
      <c r="BD393" t="s">
        <v>74</v>
      </c>
      <c r="BE393" t="s">
        <v>5938</v>
      </c>
      <c r="BF393" t="str">
        <f>HYPERLINK("http://dx.doi.org/10.1007/s00284-004-4254-2","http://dx.doi.org/10.1007/s00284-004-4254-2")</f>
        <v>http://dx.doi.org/10.1007/s00284-004-4254-2</v>
      </c>
      <c r="BG393" t="s">
        <v>74</v>
      </c>
      <c r="BH393" t="s">
        <v>74</v>
      </c>
      <c r="BI393">
        <v>5</v>
      </c>
      <c r="BJ393" t="s">
        <v>1536</v>
      </c>
      <c r="BK393" t="s">
        <v>139</v>
      </c>
      <c r="BL393" t="s">
        <v>1536</v>
      </c>
      <c r="BM393" t="s">
        <v>5939</v>
      </c>
      <c r="BN393">
        <v>15386099</v>
      </c>
      <c r="BO393" t="s">
        <v>74</v>
      </c>
      <c r="BP393" t="s">
        <v>74</v>
      </c>
      <c r="BQ393" t="s">
        <v>74</v>
      </c>
      <c r="BR393" t="s">
        <v>98</v>
      </c>
      <c r="BS393" t="s">
        <v>5940</v>
      </c>
      <c r="BT393" t="str">
        <f>HYPERLINK("https%3A%2F%2Fwww.webofscience.com%2Fwos%2Fwoscc%2Ffull-record%2FWOS:000223523200005","View Full Record in Web of Science")</f>
        <v>View Full Record in Web of Science</v>
      </c>
    </row>
    <row r="394" spans="1:72" x14ac:dyDescent="0.15">
      <c r="A394" t="s">
        <v>122</v>
      </c>
      <c r="B394" t="s">
        <v>5941</v>
      </c>
      <c r="C394" t="s">
        <v>74</v>
      </c>
      <c r="D394" t="s">
        <v>74</v>
      </c>
      <c r="E394" t="s">
        <v>74</v>
      </c>
      <c r="F394" t="s">
        <v>5941</v>
      </c>
      <c r="G394" t="s">
        <v>74</v>
      </c>
      <c r="H394" t="s">
        <v>74</v>
      </c>
      <c r="I394" t="s">
        <v>5942</v>
      </c>
      <c r="J394" t="s">
        <v>1263</v>
      </c>
      <c r="K394" t="s">
        <v>74</v>
      </c>
      <c r="L394" t="s">
        <v>74</v>
      </c>
      <c r="M394" t="s">
        <v>79</v>
      </c>
      <c r="N394" t="s">
        <v>126</v>
      </c>
      <c r="O394" t="s">
        <v>74</v>
      </c>
      <c r="P394" t="s">
        <v>74</v>
      </c>
      <c r="Q394" t="s">
        <v>74</v>
      </c>
      <c r="R394" t="s">
        <v>74</v>
      </c>
      <c r="S394" t="s">
        <v>74</v>
      </c>
      <c r="T394" t="s">
        <v>5943</v>
      </c>
      <c r="U394" t="s">
        <v>5944</v>
      </c>
      <c r="V394" t="s">
        <v>5945</v>
      </c>
      <c r="W394" t="s">
        <v>547</v>
      </c>
      <c r="X394" t="s">
        <v>548</v>
      </c>
      <c r="Y394" t="s">
        <v>5946</v>
      </c>
      <c r="Z394" t="s">
        <v>5947</v>
      </c>
      <c r="AA394" t="s">
        <v>5948</v>
      </c>
      <c r="AB394" t="s">
        <v>5949</v>
      </c>
      <c r="AC394" t="s">
        <v>74</v>
      </c>
      <c r="AD394" t="s">
        <v>74</v>
      </c>
      <c r="AE394" t="s">
        <v>74</v>
      </c>
      <c r="AF394" t="s">
        <v>74</v>
      </c>
      <c r="AG394">
        <v>35</v>
      </c>
      <c r="AH394">
        <v>15</v>
      </c>
      <c r="AI394">
        <v>17</v>
      </c>
      <c r="AJ394">
        <v>0</v>
      </c>
      <c r="AK394">
        <v>5</v>
      </c>
      <c r="AL394" t="s">
        <v>1273</v>
      </c>
      <c r="AM394" t="s">
        <v>197</v>
      </c>
      <c r="AN394" t="s">
        <v>1274</v>
      </c>
      <c r="AO394" t="s">
        <v>1275</v>
      </c>
      <c r="AP394" t="s">
        <v>1276</v>
      </c>
      <c r="AQ394" t="s">
        <v>74</v>
      </c>
      <c r="AR394" t="s">
        <v>1277</v>
      </c>
      <c r="AS394" t="s">
        <v>1278</v>
      </c>
      <c r="AT394" t="s">
        <v>5484</v>
      </c>
      <c r="AU394">
        <v>2004</v>
      </c>
      <c r="AV394">
        <v>51</v>
      </c>
      <c r="AW394">
        <v>9</v>
      </c>
      <c r="AX394" t="s">
        <v>74</v>
      </c>
      <c r="AY394" t="s">
        <v>74</v>
      </c>
      <c r="AZ394" t="s">
        <v>74</v>
      </c>
      <c r="BA394" t="s">
        <v>74</v>
      </c>
      <c r="BB394">
        <v>1131</v>
      </c>
      <c r="BC394">
        <v>1143</v>
      </c>
      <c r="BD394" t="s">
        <v>74</v>
      </c>
      <c r="BE394" t="s">
        <v>5950</v>
      </c>
      <c r="BF394" t="str">
        <f>HYPERLINK("http://dx.doi.org/10.1016/j.dsr.2004.02.012","http://dx.doi.org/10.1016/j.dsr.2004.02.012")</f>
        <v>http://dx.doi.org/10.1016/j.dsr.2004.02.012</v>
      </c>
      <c r="BG394" t="s">
        <v>74</v>
      </c>
      <c r="BH394" t="s">
        <v>74</v>
      </c>
      <c r="BI394">
        <v>13</v>
      </c>
      <c r="BJ394" t="s">
        <v>660</v>
      </c>
      <c r="BK394" t="s">
        <v>139</v>
      </c>
      <c r="BL394" t="s">
        <v>660</v>
      </c>
      <c r="BM394" t="s">
        <v>5951</v>
      </c>
      <c r="BN394" t="s">
        <v>74</v>
      </c>
      <c r="BO394" t="s">
        <v>329</v>
      </c>
      <c r="BP394" t="s">
        <v>74</v>
      </c>
      <c r="BQ394" t="s">
        <v>74</v>
      </c>
      <c r="BR394" t="s">
        <v>98</v>
      </c>
      <c r="BS394" t="s">
        <v>5952</v>
      </c>
      <c r="BT394" t="str">
        <f>HYPERLINK("https%3A%2F%2Fwww.webofscience.com%2Fwos%2Fwoscc%2Ffull-record%2FWOS:000223496500001","View Full Record in Web of Science")</f>
        <v>View Full Record in Web of Science</v>
      </c>
    </row>
    <row r="395" spans="1:72" x14ac:dyDescent="0.15">
      <c r="A395" t="s">
        <v>122</v>
      </c>
      <c r="B395" t="s">
        <v>5953</v>
      </c>
      <c r="C395" t="s">
        <v>74</v>
      </c>
      <c r="D395" t="s">
        <v>74</v>
      </c>
      <c r="E395" t="s">
        <v>74</v>
      </c>
      <c r="F395" t="s">
        <v>5953</v>
      </c>
      <c r="G395" t="s">
        <v>74</v>
      </c>
      <c r="H395" t="s">
        <v>74</v>
      </c>
      <c r="I395" t="s">
        <v>5954</v>
      </c>
      <c r="J395" t="s">
        <v>1263</v>
      </c>
      <c r="K395" t="s">
        <v>74</v>
      </c>
      <c r="L395" t="s">
        <v>74</v>
      </c>
      <c r="M395" t="s">
        <v>79</v>
      </c>
      <c r="N395" t="s">
        <v>126</v>
      </c>
      <c r="O395" t="s">
        <v>74</v>
      </c>
      <c r="P395" t="s">
        <v>74</v>
      </c>
      <c r="Q395" t="s">
        <v>74</v>
      </c>
      <c r="R395" t="s">
        <v>74</v>
      </c>
      <c r="S395" t="s">
        <v>74</v>
      </c>
      <c r="T395" t="s">
        <v>5955</v>
      </c>
      <c r="U395" t="s">
        <v>5956</v>
      </c>
      <c r="V395" t="s">
        <v>5957</v>
      </c>
      <c r="W395" t="s">
        <v>5958</v>
      </c>
      <c r="X395" t="s">
        <v>548</v>
      </c>
      <c r="Y395" t="s">
        <v>5959</v>
      </c>
      <c r="Z395" t="s">
        <v>5960</v>
      </c>
      <c r="AA395" t="s">
        <v>5961</v>
      </c>
      <c r="AB395" t="s">
        <v>5962</v>
      </c>
      <c r="AC395" t="s">
        <v>74</v>
      </c>
      <c r="AD395" t="s">
        <v>74</v>
      </c>
      <c r="AE395" t="s">
        <v>74</v>
      </c>
      <c r="AF395" t="s">
        <v>74</v>
      </c>
      <c r="AG395">
        <v>40</v>
      </c>
      <c r="AH395">
        <v>29</v>
      </c>
      <c r="AI395">
        <v>31</v>
      </c>
      <c r="AJ395">
        <v>1</v>
      </c>
      <c r="AK395">
        <v>9</v>
      </c>
      <c r="AL395" t="s">
        <v>1273</v>
      </c>
      <c r="AM395" t="s">
        <v>197</v>
      </c>
      <c r="AN395" t="s">
        <v>1274</v>
      </c>
      <c r="AO395" t="s">
        <v>1275</v>
      </c>
      <c r="AP395" t="s">
        <v>1276</v>
      </c>
      <c r="AQ395" t="s">
        <v>74</v>
      </c>
      <c r="AR395" t="s">
        <v>1277</v>
      </c>
      <c r="AS395" t="s">
        <v>1278</v>
      </c>
      <c r="AT395" t="s">
        <v>5484</v>
      </c>
      <c r="AU395">
        <v>2004</v>
      </c>
      <c r="AV395">
        <v>51</v>
      </c>
      <c r="AW395">
        <v>9</v>
      </c>
      <c r="AX395" t="s">
        <v>74</v>
      </c>
      <c r="AY395" t="s">
        <v>74</v>
      </c>
      <c r="AZ395" t="s">
        <v>74</v>
      </c>
      <c r="BA395" t="s">
        <v>74</v>
      </c>
      <c r="BB395">
        <v>1169</v>
      </c>
      <c r="BC395">
        <v>1177</v>
      </c>
      <c r="BD395" t="s">
        <v>74</v>
      </c>
      <c r="BE395" t="s">
        <v>5963</v>
      </c>
      <c r="BF395" t="str">
        <f>HYPERLINK("http://dx.doi.org/10.1016/j.dsr.2004.02.011","http://dx.doi.org/10.1016/j.dsr.2004.02.011")</f>
        <v>http://dx.doi.org/10.1016/j.dsr.2004.02.011</v>
      </c>
      <c r="BG395" t="s">
        <v>74</v>
      </c>
      <c r="BH395" t="s">
        <v>74</v>
      </c>
      <c r="BI395">
        <v>9</v>
      </c>
      <c r="BJ395" t="s">
        <v>660</v>
      </c>
      <c r="BK395" t="s">
        <v>139</v>
      </c>
      <c r="BL395" t="s">
        <v>660</v>
      </c>
      <c r="BM395" t="s">
        <v>5951</v>
      </c>
      <c r="BN395" t="s">
        <v>74</v>
      </c>
      <c r="BO395" t="s">
        <v>74</v>
      </c>
      <c r="BP395" t="s">
        <v>74</v>
      </c>
      <c r="BQ395" t="s">
        <v>74</v>
      </c>
      <c r="BR395" t="s">
        <v>98</v>
      </c>
      <c r="BS395" t="s">
        <v>5964</v>
      </c>
      <c r="BT395" t="str">
        <f>HYPERLINK("https%3A%2F%2Fwww.webofscience.com%2Fwos%2Fwoscc%2Ffull-record%2FWOS:000223496500004","View Full Record in Web of Science")</f>
        <v>View Full Record in Web of Science</v>
      </c>
    </row>
    <row r="396" spans="1:72" x14ac:dyDescent="0.15">
      <c r="A396" t="s">
        <v>122</v>
      </c>
      <c r="B396" t="s">
        <v>5965</v>
      </c>
      <c r="C396" t="s">
        <v>74</v>
      </c>
      <c r="D396" t="s">
        <v>74</v>
      </c>
      <c r="E396" t="s">
        <v>74</v>
      </c>
      <c r="F396" t="s">
        <v>5965</v>
      </c>
      <c r="G396" t="s">
        <v>74</v>
      </c>
      <c r="H396" t="s">
        <v>74</v>
      </c>
      <c r="I396" t="s">
        <v>5966</v>
      </c>
      <c r="J396" t="s">
        <v>5967</v>
      </c>
      <c r="K396" t="s">
        <v>74</v>
      </c>
      <c r="L396" t="s">
        <v>74</v>
      </c>
      <c r="M396" t="s">
        <v>79</v>
      </c>
      <c r="N396" t="s">
        <v>581</v>
      </c>
      <c r="O396" t="s">
        <v>74</v>
      </c>
      <c r="P396" t="s">
        <v>74</v>
      </c>
      <c r="Q396" t="s">
        <v>74</v>
      </c>
      <c r="R396" t="s">
        <v>74</v>
      </c>
      <c r="S396" t="s">
        <v>74</v>
      </c>
      <c r="T396" t="s">
        <v>74</v>
      </c>
      <c r="U396" t="s">
        <v>74</v>
      </c>
      <c r="V396" t="s">
        <v>5968</v>
      </c>
      <c r="W396" t="s">
        <v>5969</v>
      </c>
      <c r="X396" t="s">
        <v>1681</v>
      </c>
      <c r="Y396" t="s">
        <v>5970</v>
      </c>
      <c r="Z396" t="s">
        <v>5971</v>
      </c>
      <c r="AA396" t="s">
        <v>74</v>
      </c>
      <c r="AB396" t="s">
        <v>74</v>
      </c>
      <c r="AC396" t="s">
        <v>74</v>
      </c>
      <c r="AD396" t="s">
        <v>74</v>
      </c>
      <c r="AE396" t="s">
        <v>74</v>
      </c>
      <c r="AF396" t="s">
        <v>74</v>
      </c>
      <c r="AG396">
        <v>9</v>
      </c>
      <c r="AH396">
        <v>3</v>
      </c>
      <c r="AI396">
        <v>4</v>
      </c>
      <c r="AJ396">
        <v>0</v>
      </c>
      <c r="AK396">
        <v>3</v>
      </c>
      <c r="AL396" t="s">
        <v>1273</v>
      </c>
      <c r="AM396" t="s">
        <v>197</v>
      </c>
      <c r="AN396" t="s">
        <v>1274</v>
      </c>
      <c r="AO396" t="s">
        <v>5972</v>
      </c>
      <c r="AP396" t="s">
        <v>74</v>
      </c>
      <c r="AQ396" t="s">
        <v>74</v>
      </c>
      <c r="AR396" t="s">
        <v>5967</v>
      </c>
      <c r="AS396" t="s">
        <v>5973</v>
      </c>
      <c r="AT396" t="s">
        <v>5484</v>
      </c>
      <c r="AU396">
        <v>2004</v>
      </c>
      <c r="AV396">
        <v>28</v>
      </c>
      <c r="AW396">
        <v>3</v>
      </c>
      <c r="AX396" t="s">
        <v>74</v>
      </c>
      <c r="AY396" t="s">
        <v>74</v>
      </c>
      <c r="AZ396" t="s">
        <v>74</v>
      </c>
      <c r="BA396" t="s">
        <v>74</v>
      </c>
      <c r="BB396">
        <v>109</v>
      </c>
      <c r="BC396">
        <v>113</v>
      </c>
      <c r="BD396" t="s">
        <v>74</v>
      </c>
      <c r="BE396" t="s">
        <v>5974</v>
      </c>
      <c r="BF396" t="str">
        <f>HYPERLINK("http://dx.doi.org/10.1016/j.endeavour.2004.07.005","http://dx.doi.org/10.1016/j.endeavour.2004.07.005")</f>
        <v>http://dx.doi.org/10.1016/j.endeavour.2004.07.005</v>
      </c>
      <c r="BG396" t="s">
        <v>74</v>
      </c>
      <c r="BH396" t="s">
        <v>74</v>
      </c>
      <c r="BI396">
        <v>5</v>
      </c>
      <c r="BJ396" t="s">
        <v>5975</v>
      </c>
      <c r="BK396" t="s">
        <v>139</v>
      </c>
      <c r="BL396" t="s">
        <v>5976</v>
      </c>
      <c r="BM396" t="s">
        <v>5977</v>
      </c>
      <c r="BN396">
        <v>15350762</v>
      </c>
      <c r="BO396" t="s">
        <v>74</v>
      </c>
      <c r="BP396" t="s">
        <v>74</v>
      </c>
      <c r="BQ396" t="s">
        <v>74</v>
      </c>
      <c r="BR396" t="s">
        <v>98</v>
      </c>
      <c r="BS396" t="s">
        <v>5978</v>
      </c>
      <c r="BT396" t="str">
        <f>HYPERLINK("https%3A%2F%2Fwww.webofscience.com%2Fwos%2Fwoscc%2Ffull-record%2FWOS:000224084500005","View Full Record in Web of Science")</f>
        <v>View Full Record in Web of Science</v>
      </c>
    </row>
    <row r="397" spans="1:72" x14ac:dyDescent="0.15">
      <c r="A397" t="s">
        <v>122</v>
      </c>
      <c r="B397" t="s">
        <v>5979</v>
      </c>
      <c r="C397" t="s">
        <v>74</v>
      </c>
      <c r="D397" t="s">
        <v>74</v>
      </c>
      <c r="E397" t="s">
        <v>74</v>
      </c>
      <c r="F397" t="s">
        <v>5979</v>
      </c>
      <c r="G397" t="s">
        <v>74</v>
      </c>
      <c r="H397" t="s">
        <v>74</v>
      </c>
      <c r="I397" t="s">
        <v>5980</v>
      </c>
      <c r="J397" t="s">
        <v>5967</v>
      </c>
      <c r="K397" t="s">
        <v>74</v>
      </c>
      <c r="L397" t="s">
        <v>74</v>
      </c>
      <c r="M397" t="s">
        <v>79</v>
      </c>
      <c r="N397" t="s">
        <v>581</v>
      </c>
      <c r="O397" t="s">
        <v>74</v>
      </c>
      <c r="P397" t="s">
        <v>74</v>
      </c>
      <c r="Q397" t="s">
        <v>74</v>
      </c>
      <c r="R397" t="s">
        <v>74</v>
      </c>
      <c r="S397" t="s">
        <v>74</v>
      </c>
      <c r="T397" t="s">
        <v>74</v>
      </c>
      <c r="U397" t="s">
        <v>74</v>
      </c>
      <c r="V397" t="s">
        <v>5981</v>
      </c>
      <c r="W397" t="s">
        <v>5982</v>
      </c>
      <c r="X397" t="s">
        <v>74</v>
      </c>
      <c r="Y397" t="s">
        <v>5983</v>
      </c>
      <c r="Z397" t="s">
        <v>5984</v>
      </c>
      <c r="AA397" t="s">
        <v>74</v>
      </c>
      <c r="AB397" t="s">
        <v>74</v>
      </c>
      <c r="AC397" t="s">
        <v>74</v>
      </c>
      <c r="AD397" t="s">
        <v>74</v>
      </c>
      <c r="AE397" t="s">
        <v>74</v>
      </c>
      <c r="AF397" t="s">
        <v>74</v>
      </c>
      <c r="AG397">
        <v>8</v>
      </c>
      <c r="AH397">
        <v>0</v>
      </c>
      <c r="AI397">
        <v>0</v>
      </c>
      <c r="AJ397">
        <v>0</v>
      </c>
      <c r="AK397">
        <v>4</v>
      </c>
      <c r="AL397" t="s">
        <v>1273</v>
      </c>
      <c r="AM397" t="s">
        <v>197</v>
      </c>
      <c r="AN397" t="s">
        <v>1274</v>
      </c>
      <c r="AO397" t="s">
        <v>5972</v>
      </c>
      <c r="AP397" t="s">
        <v>5985</v>
      </c>
      <c r="AQ397" t="s">
        <v>74</v>
      </c>
      <c r="AR397" t="s">
        <v>5967</v>
      </c>
      <c r="AS397" t="s">
        <v>5973</v>
      </c>
      <c r="AT397" t="s">
        <v>5484</v>
      </c>
      <c r="AU397">
        <v>2004</v>
      </c>
      <c r="AV397">
        <v>28</v>
      </c>
      <c r="AW397">
        <v>3</v>
      </c>
      <c r="AX397" t="s">
        <v>74</v>
      </c>
      <c r="AY397" t="s">
        <v>74</v>
      </c>
      <c r="AZ397" t="s">
        <v>74</v>
      </c>
      <c r="BA397" t="s">
        <v>74</v>
      </c>
      <c r="BB397">
        <v>114</v>
      </c>
      <c r="BC397">
        <v>119</v>
      </c>
      <c r="BD397" t="s">
        <v>74</v>
      </c>
      <c r="BE397" t="s">
        <v>5986</v>
      </c>
      <c r="BF397" t="str">
        <f>HYPERLINK("http://dx.doi.org/10.1016/j.endeavour.2004.07.009","http://dx.doi.org/10.1016/j.endeavour.2004.07.009")</f>
        <v>http://dx.doi.org/10.1016/j.endeavour.2004.07.009</v>
      </c>
      <c r="BG397" t="s">
        <v>74</v>
      </c>
      <c r="BH397" t="s">
        <v>74</v>
      </c>
      <c r="BI397">
        <v>6</v>
      </c>
      <c r="BJ397" t="s">
        <v>5975</v>
      </c>
      <c r="BK397" t="s">
        <v>139</v>
      </c>
      <c r="BL397" t="s">
        <v>5976</v>
      </c>
      <c r="BM397" t="s">
        <v>5977</v>
      </c>
      <c r="BN397">
        <v>15350763</v>
      </c>
      <c r="BO397" t="s">
        <v>74</v>
      </c>
      <c r="BP397" t="s">
        <v>74</v>
      </c>
      <c r="BQ397" t="s">
        <v>74</v>
      </c>
      <c r="BR397" t="s">
        <v>98</v>
      </c>
      <c r="BS397" t="s">
        <v>5987</v>
      </c>
      <c r="BT397" t="str">
        <f>HYPERLINK("https%3A%2F%2Fwww.webofscience.com%2Fwos%2Fwoscc%2Ffull-record%2FWOS:000224084500006","View Full Record in Web of Science")</f>
        <v>View Full Record in Web of Science</v>
      </c>
    </row>
    <row r="398" spans="1:72" x14ac:dyDescent="0.15">
      <c r="A398" t="s">
        <v>122</v>
      </c>
      <c r="B398" t="s">
        <v>5988</v>
      </c>
      <c r="C398" t="s">
        <v>74</v>
      </c>
      <c r="D398" t="s">
        <v>74</v>
      </c>
      <c r="E398" t="s">
        <v>74</v>
      </c>
      <c r="F398" t="s">
        <v>5988</v>
      </c>
      <c r="G398" t="s">
        <v>74</v>
      </c>
      <c r="H398" t="s">
        <v>74</v>
      </c>
      <c r="I398" t="s">
        <v>5989</v>
      </c>
      <c r="J398" t="s">
        <v>5990</v>
      </c>
      <c r="K398" t="s">
        <v>74</v>
      </c>
      <c r="L398" t="s">
        <v>74</v>
      </c>
      <c r="M398" t="s">
        <v>79</v>
      </c>
      <c r="N398" t="s">
        <v>126</v>
      </c>
      <c r="O398" t="s">
        <v>74</v>
      </c>
      <c r="P398" t="s">
        <v>74</v>
      </c>
      <c r="Q398" t="s">
        <v>74</v>
      </c>
      <c r="R398" t="s">
        <v>74</v>
      </c>
      <c r="S398" t="s">
        <v>74</v>
      </c>
      <c r="T398" t="s">
        <v>74</v>
      </c>
      <c r="U398" t="s">
        <v>5991</v>
      </c>
      <c r="V398" t="s">
        <v>5992</v>
      </c>
      <c r="W398" t="s">
        <v>5993</v>
      </c>
      <c r="X398" t="s">
        <v>5994</v>
      </c>
      <c r="Y398" t="s">
        <v>74</v>
      </c>
      <c r="Z398" t="s">
        <v>5995</v>
      </c>
      <c r="AA398" t="s">
        <v>5996</v>
      </c>
      <c r="AB398" t="s">
        <v>5997</v>
      </c>
      <c r="AC398" t="s">
        <v>74</v>
      </c>
      <c r="AD398" t="s">
        <v>74</v>
      </c>
      <c r="AE398" t="s">
        <v>74</v>
      </c>
      <c r="AF398" t="s">
        <v>74</v>
      </c>
      <c r="AG398">
        <v>45</v>
      </c>
      <c r="AH398">
        <v>46</v>
      </c>
      <c r="AI398">
        <v>51</v>
      </c>
      <c r="AJ398">
        <v>0</v>
      </c>
      <c r="AK398">
        <v>9</v>
      </c>
      <c r="AL398" t="s">
        <v>1418</v>
      </c>
      <c r="AM398" t="s">
        <v>1419</v>
      </c>
      <c r="AN398" t="s">
        <v>1420</v>
      </c>
      <c r="AO398" t="s">
        <v>5998</v>
      </c>
      <c r="AP398" t="s">
        <v>5999</v>
      </c>
      <c r="AQ398" t="s">
        <v>74</v>
      </c>
      <c r="AR398" t="s">
        <v>6000</v>
      </c>
      <c r="AS398" t="s">
        <v>6001</v>
      </c>
      <c r="AT398" t="s">
        <v>5484</v>
      </c>
      <c r="AU398">
        <v>2004</v>
      </c>
      <c r="AV398">
        <v>6</v>
      </c>
      <c r="AW398">
        <v>9</v>
      </c>
      <c r="AX398" t="s">
        <v>74</v>
      </c>
      <c r="AY398" t="s">
        <v>74</v>
      </c>
      <c r="AZ398" t="s">
        <v>74</v>
      </c>
      <c r="BA398" t="s">
        <v>74</v>
      </c>
      <c r="BB398">
        <v>959</v>
      </c>
      <c r="BC398">
        <v>969</v>
      </c>
      <c r="BD398" t="s">
        <v>74</v>
      </c>
      <c r="BE398" t="s">
        <v>6002</v>
      </c>
      <c r="BF398" t="str">
        <f>HYPERLINK("http://dx.doi.org/10.1111/j.1462-2920.2004.00644.x","http://dx.doi.org/10.1111/j.1462-2920.2004.00644.x")</f>
        <v>http://dx.doi.org/10.1111/j.1462-2920.2004.00644.x</v>
      </c>
      <c r="BG398" t="s">
        <v>74</v>
      </c>
      <c r="BH398" t="s">
        <v>74</v>
      </c>
      <c r="BI398">
        <v>11</v>
      </c>
      <c r="BJ398" t="s">
        <v>1536</v>
      </c>
      <c r="BK398" t="s">
        <v>139</v>
      </c>
      <c r="BL398" t="s">
        <v>1536</v>
      </c>
      <c r="BM398" t="s">
        <v>6003</v>
      </c>
      <c r="BN398">
        <v>15305921</v>
      </c>
      <c r="BO398" t="s">
        <v>74</v>
      </c>
      <c r="BP398" t="s">
        <v>74</v>
      </c>
      <c r="BQ398" t="s">
        <v>74</v>
      </c>
      <c r="BR398" t="s">
        <v>98</v>
      </c>
      <c r="BS398" t="s">
        <v>6004</v>
      </c>
      <c r="BT398" t="str">
        <f>HYPERLINK("https%3A%2F%2Fwww.webofscience.com%2Fwos%2Fwoscc%2Ffull-record%2FWOS:000223254700010","View Full Record in Web of Science")</f>
        <v>View Full Record in Web of Science</v>
      </c>
    </row>
    <row r="399" spans="1:72" x14ac:dyDescent="0.15">
      <c r="A399" t="s">
        <v>122</v>
      </c>
      <c r="B399" t="s">
        <v>6005</v>
      </c>
      <c r="C399" t="s">
        <v>74</v>
      </c>
      <c r="D399" t="s">
        <v>74</v>
      </c>
      <c r="E399" t="s">
        <v>74</v>
      </c>
      <c r="F399" t="s">
        <v>6005</v>
      </c>
      <c r="G399" t="s">
        <v>74</v>
      </c>
      <c r="H399" t="s">
        <v>74</v>
      </c>
      <c r="I399" t="s">
        <v>6006</v>
      </c>
      <c r="J399" t="s">
        <v>6007</v>
      </c>
      <c r="K399" t="s">
        <v>74</v>
      </c>
      <c r="L399" t="s">
        <v>74</v>
      </c>
      <c r="M399" t="s">
        <v>79</v>
      </c>
      <c r="N399" t="s">
        <v>126</v>
      </c>
      <c r="O399" t="s">
        <v>74</v>
      </c>
      <c r="P399" t="s">
        <v>74</v>
      </c>
      <c r="Q399" t="s">
        <v>74</v>
      </c>
      <c r="R399" t="s">
        <v>74</v>
      </c>
      <c r="S399" t="s">
        <v>74</v>
      </c>
      <c r="T399" t="s">
        <v>6008</v>
      </c>
      <c r="U399" t="s">
        <v>6009</v>
      </c>
      <c r="V399" t="s">
        <v>6010</v>
      </c>
      <c r="W399" t="s">
        <v>6011</v>
      </c>
      <c r="X399" t="s">
        <v>6012</v>
      </c>
      <c r="Y399" t="s">
        <v>6013</v>
      </c>
      <c r="Z399" t="s">
        <v>6014</v>
      </c>
      <c r="AA399" t="s">
        <v>6015</v>
      </c>
      <c r="AB399" t="s">
        <v>6016</v>
      </c>
      <c r="AC399" t="s">
        <v>74</v>
      </c>
      <c r="AD399" t="s">
        <v>74</v>
      </c>
      <c r="AE399" t="s">
        <v>74</v>
      </c>
      <c r="AF399" t="s">
        <v>74</v>
      </c>
      <c r="AG399">
        <v>75</v>
      </c>
      <c r="AH399">
        <v>69</v>
      </c>
      <c r="AI399">
        <v>82</v>
      </c>
      <c r="AJ399">
        <v>0</v>
      </c>
      <c r="AK399">
        <v>25</v>
      </c>
      <c r="AL399" t="s">
        <v>1418</v>
      </c>
      <c r="AM399" t="s">
        <v>1419</v>
      </c>
      <c r="AN399" t="s">
        <v>1420</v>
      </c>
      <c r="AO399" t="s">
        <v>6017</v>
      </c>
      <c r="AP399" t="s">
        <v>6018</v>
      </c>
      <c r="AQ399" t="s">
        <v>74</v>
      </c>
      <c r="AR399" t="s">
        <v>6007</v>
      </c>
      <c r="AS399" t="s">
        <v>6019</v>
      </c>
      <c r="AT399" t="s">
        <v>5484</v>
      </c>
      <c r="AU399">
        <v>2004</v>
      </c>
      <c r="AV399">
        <v>58</v>
      </c>
      <c r="AW399">
        <v>9</v>
      </c>
      <c r="AX399" t="s">
        <v>74</v>
      </c>
      <c r="AY399" t="s">
        <v>74</v>
      </c>
      <c r="AZ399" t="s">
        <v>74</v>
      </c>
      <c r="BA399" t="s">
        <v>74</v>
      </c>
      <c r="BB399">
        <v>2087</v>
      </c>
      <c r="BC399">
        <v>2099</v>
      </c>
      <c r="BD399" t="s">
        <v>74</v>
      </c>
      <c r="BE399" t="s">
        <v>74</v>
      </c>
      <c r="BF399" t="s">
        <v>74</v>
      </c>
      <c r="BG399" t="s">
        <v>74</v>
      </c>
      <c r="BH399" t="s">
        <v>74</v>
      </c>
      <c r="BI399">
        <v>13</v>
      </c>
      <c r="BJ399" t="s">
        <v>6020</v>
      </c>
      <c r="BK399" t="s">
        <v>139</v>
      </c>
      <c r="BL399" t="s">
        <v>6021</v>
      </c>
      <c r="BM399" t="s">
        <v>6022</v>
      </c>
      <c r="BN399">
        <v>15521464</v>
      </c>
      <c r="BO399" t="s">
        <v>74</v>
      </c>
      <c r="BP399" t="s">
        <v>74</v>
      </c>
      <c r="BQ399" t="s">
        <v>74</v>
      </c>
      <c r="BR399" t="s">
        <v>98</v>
      </c>
      <c r="BS399" t="s">
        <v>6023</v>
      </c>
      <c r="BT399" t="str">
        <f>HYPERLINK("https%3A%2F%2Fwww.webofscience.com%2Fwos%2Fwoscc%2Ffull-record%2FWOS:000224339500017","View Full Record in Web of Science")</f>
        <v>View Full Record in Web of Science</v>
      </c>
    </row>
    <row r="400" spans="1:72" x14ac:dyDescent="0.15">
      <c r="A400" t="s">
        <v>122</v>
      </c>
      <c r="B400" t="s">
        <v>6024</v>
      </c>
      <c r="C400" t="s">
        <v>74</v>
      </c>
      <c r="D400" t="s">
        <v>74</v>
      </c>
      <c r="E400" t="s">
        <v>74</v>
      </c>
      <c r="F400" t="s">
        <v>6024</v>
      </c>
      <c r="G400" t="s">
        <v>74</v>
      </c>
      <c r="H400" t="s">
        <v>74</v>
      </c>
      <c r="I400" t="s">
        <v>6025</v>
      </c>
      <c r="J400" t="s">
        <v>2206</v>
      </c>
      <c r="K400" t="s">
        <v>74</v>
      </c>
      <c r="L400" t="s">
        <v>74</v>
      </c>
      <c r="M400" t="s">
        <v>79</v>
      </c>
      <c r="N400" t="s">
        <v>126</v>
      </c>
      <c r="O400" t="s">
        <v>74</v>
      </c>
      <c r="P400" t="s">
        <v>74</v>
      </c>
      <c r="Q400" t="s">
        <v>74</v>
      </c>
      <c r="R400" t="s">
        <v>74</v>
      </c>
      <c r="S400" t="s">
        <v>74</v>
      </c>
      <c r="T400" t="s">
        <v>6026</v>
      </c>
      <c r="U400" t="s">
        <v>6027</v>
      </c>
      <c r="V400" t="s">
        <v>6028</v>
      </c>
      <c r="W400" t="s">
        <v>6029</v>
      </c>
      <c r="X400" t="s">
        <v>6030</v>
      </c>
      <c r="Y400" t="s">
        <v>6031</v>
      </c>
      <c r="Z400" t="s">
        <v>6032</v>
      </c>
      <c r="AA400" t="s">
        <v>6033</v>
      </c>
      <c r="AB400" t="s">
        <v>6034</v>
      </c>
      <c r="AC400" t="s">
        <v>74</v>
      </c>
      <c r="AD400" t="s">
        <v>74</v>
      </c>
      <c r="AE400" t="s">
        <v>74</v>
      </c>
      <c r="AF400" t="s">
        <v>74</v>
      </c>
      <c r="AG400">
        <v>59</v>
      </c>
      <c r="AH400">
        <v>97</v>
      </c>
      <c r="AI400">
        <v>108</v>
      </c>
      <c r="AJ400">
        <v>0</v>
      </c>
      <c r="AK400">
        <v>23</v>
      </c>
      <c r="AL400" t="s">
        <v>196</v>
      </c>
      <c r="AM400" t="s">
        <v>197</v>
      </c>
      <c r="AN400" t="s">
        <v>198</v>
      </c>
      <c r="AO400" t="s">
        <v>2216</v>
      </c>
      <c r="AP400" t="s">
        <v>2217</v>
      </c>
      <c r="AQ400" t="s">
        <v>74</v>
      </c>
      <c r="AR400" t="s">
        <v>2218</v>
      </c>
      <c r="AS400" t="s">
        <v>2219</v>
      </c>
      <c r="AT400" t="s">
        <v>6035</v>
      </c>
      <c r="AU400">
        <v>2004</v>
      </c>
      <c r="AV400">
        <v>49</v>
      </c>
      <c r="AW400">
        <v>3</v>
      </c>
      <c r="AX400" t="s">
        <v>74</v>
      </c>
      <c r="AY400" t="s">
        <v>74</v>
      </c>
      <c r="AZ400" t="s">
        <v>74</v>
      </c>
      <c r="BA400" t="s">
        <v>74</v>
      </c>
      <c r="BB400">
        <v>419</v>
      </c>
      <c r="BC400">
        <v>432</v>
      </c>
      <c r="BD400" t="s">
        <v>74</v>
      </c>
      <c r="BE400" t="s">
        <v>6036</v>
      </c>
      <c r="BF400" t="str">
        <f>HYPERLINK("http://dx.doi.org/10.1016/j.femsec.2004.04.018","http://dx.doi.org/10.1016/j.femsec.2004.04.018")</f>
        <v>http://dx.doi.org/10.1016/j.femsec.2004.04.018</v>
      </c>
      <c r="BG400" t="s">
        <v>74</v>
      </c>
      <c r="BH400" t="s">
        <v>74</v>
      </c>
      <c r="BI400">
        <v>14</v>
      </c>
      <c r="BJ400" t="s">
        <v>1536</v>
      </c>
      <c r="BK400" t="s">
        <v>139</v>
      </c>
      <c r="BL400" t="s">
        <v>1536</v>
      </c>
      <c r="BM400" t="s">
        <v>6037</v>
      </c>
      <c r="BN400">
        <v>19712291</v>
      </c>
      <c r="BO400" t="s">
        <v>273</v>
      </c>
      <c r="BP400" t="s">
        <v>74</v>
      </c>
      <c r="BQ400" t="s">
        <v>74</v>
      </c>
      <c r="BR400" t="s">
        <v>98</v>
      </c>
      <c r="BS400" t="s">
        <v>6038</v>
      </c>
      <c r="BT400" t="str">
        <f>HYPERLINK("https%3A%2F%2Fwww.webofscience.com%2Fwos%2Fwoscc%2Ffull-record%2FWOS:000223695000008","View Full Record in Web of Science")</f>
        <v>View Full Record in Web of Science</v>
      </c>
    </row>
    <row r="401" spans="1:72" x14ac:dyDescent="0.15">
      <c r="A401" t="s">
        <v>122</v>
      </c>
      <c r="B401" t="s">
        <v>6039</v>
      </c>
      <c r="C401" t="s">
        <v>74</v>
      </c>
      <c r="D401" t="s">
        <v>74</v>
      </c>
      <c r="E401" t="s">
        <v>74</v>
      </c>
      <c r="F401" t="s">
        <v>6039</v>
      </c>
      <c r="G401" t="s">
        <v>74</v>
      </c>
      <c r="H401" t="s">
        <v>74</v>
      </c>
      <c r="I401" t="s">
        <v>6040</v>
      </c>
      <c r="J401" t="s">
        <v>6041</v>
      </c>
      <c r="K401" t="s">
        <v>74</v>
      </c>
      <c r="L401" t="s">
        <v>74</v>
      </c>
      <c r="M401" t="s">
        <v>79</v>
      </c>
      <c r="N401" t="s">
        <v>126</v>
      </c>
      <c r="O401" t="s">
        <v>74</v>
      </c>
      <c r="P401" t="s">
        <v>74</v>
      </c>
      <c r="Q401" t="s">
        <v>74</v>
      </c>
      <c r="R401" t="s">
        <v>74</v>
      </c>
      <c r="S401" t="s">
        <v>74</v>
      </c>
      <c r="T401" t="s">
        <v>6042</v>
      </c>
      <c r="U401" t="s">
        <v>6043</v>
      </c>
      <c r="V401" t="s">
        <v>6044</v>
      </c>
      <c r="W401" t="s">
        <v>6045</v>
      </c>
      <c r="X401" t="s">
        <v>6046</v>
      </c>
      <c r="Y401" t="s">
        <v>502</v>
      </c>
      <c r="Z401" t="s">
        <v>6047</v>
      </c>
      <c r="AA401" t="s">
        <v>6048</v>
      </c>
      <c r="AB401" t="s">
        <v>6049</v>
      </c>
      <c r="AC401" t="s">
        <v>74</v>
      </c>
      <c r="AD401" t="s">
        <v>74</v>
      </c>
      <c r="AE401" t="s">
        <v>74</v>
      </c>
      <c r="AF401" t="s">
        <v>74</v>
      </c>
      <c r="AG401">
        <v>64</v>
      </c>
      <c r="AH401">
        <v>81</v>
      </c>
      <c r="AI401">
        <v>85</v>
      </c>
      <c r="AJ401">
        <v>9</v>
      </c>
      <c r="AK401">
        <v>51</v>
      </c>
      <c r="AL401" t="s">
        <v>1418</v>
      </c>
      <c r="AM401" t="s">
        <v>1419</v>
      </c>
      <c r="AN401" t="s">
        <v>1420</v>
      </c>
      <c r="AO401" t="s">
        <v>6050</v>
      </c>
      <c r="AP401" t="s">
        <v>6051</v>
      </c>
      <c r="AQ401" t="s">
        <v>74</v>
      </c>
      <c r="AR401" t="s">
        <v>6052</v>
      </c>
      <c r="AS401" t="s">
        <v>6053</v>
      </c>
      <c r="AT401" t="s">
        <v>5484</v>
      </c>
      <c r="AU401">
        <v>2004</v>
      </c>
      <c r="AV401">
        <v>13</v>
      </c>
      <c r="AW401">
        <v>5</v>
      </c>
      <c r="AX401" t="s">
        <v>74</v>
      </c>
      <c r="AY401" t="s">
        <v>74</v>
      </c>
      <c r="AZ401" t="s">
        <v>74</v>
      </c>
      <c r="BA401" t="s">
        <v>74</v>
      </c>
      <c r="BB401">
        <v>324</v>
      </c>
      <c r="BC401">
        <v>344</v>
      </c>
      <c r="BD401" t="s">
        <v>74</v>
      </c>
      <c r="BE401" t="s">
        <v>6054</v>
      </c>
      <c r="BF401" t="str">
        <f>HYPERLINK("http://dx.doi.org/10.1111/j.1365-2419.2004.00298.x","http://dx.doi.org/10.1111/j.1365-2419.2004.00298.x")</f>
        <v>http://dx.doi.org/10.1111/j.1365-2419.2004.00298.x</v>
      </c>
      <c r="BG401" t="s">
        <v>74</v>
      </c>
      <c r="BH401" t="s">
        <v>74</v>
      </c>
      <c r="BI401">
        <v>21</v>
      </c>
      <c r="BJ401" t="s">
        <v>6055</v>
      </c>
      <c r="BK401" t="s">
        <v>139</v>
      </c>
      <c r="BL401" t="s">
        <v>6055</v>
      </c>
      <c r="BM401" t="s">
        <v>6056</v>
      </c>
      <c r="BN401" t="s">
        <v>74</v>
      </c>
      <c r="BO401" t="s">
        <v>74</v>
      </c>
      <c r="BP401" t="s">
        <v>74</v>
      </c>
      <c r="BQ401" t="s">
        <v>74</v>
      </c>
      <c r="BR401" t="s">
        <v>98</v>
      </c>
      <c r="BS401" t="s">
        <v>6057</v>
      </c>
      <c r="BT401" t="str">
        <f>HYPERLINK("https%3A%2F%2Fwww.webofscience.com%2Fwos%2Fwoscc%2Ffull-record%2FWOS:000223590400004","View Full Record in Web of Science")</f>
        <v>View Full Record in Web of Science</v>
      </c>
    </row>
    <row r="402" spans="1:72" x14ac:dyDescent="0.15">
      <c r="A402" t="s">
        <v>122</v>
      </c>
      <c r="B402" t="s">
        <v>6058</v>
      </c>
      <c r="C402" t="s">
        <v>74</v>
      </c>
      <c r="D402" t="s">
        <v>74</v>
      </c>
      <c r="E402" t="s">
        <v>74</v>
      </c>
      <c r="F402" t="s">
        <v>6058</v>
      </c>
      <c r="G402" t="s">
        <v>74</v>
      </c>
      <c r="H402" t="s">
        <v>74</v>
      </c>
      <c r="I402" t="s">
        <v>6059</v>
      </c>
      <c r="J402" t="s">
        <v>6060</v>
      </c>
      <c r="K402" t="s">
        <v>74</v>
      </c>
      <c r="L402" t="s">
        <v>74</v>
      </c>
      <c r="M402" t="s">
        <v>79</v>
      </c>
      <c r="N402" t="s">
        <v>126</v>
      </c>
      <c r="O402" t="s">
        <v>74</v>
      </c>
      <c r="P402" t="s">
        <v>74</v>
      </c>
      <c r="Q402" t="s">
        <v>74</v>
      </c>
      <c r="R402" t="s">
        <v>74</v>
      </c>
      <c r="S402" t="s">
        <v>74</v>
      </c>
      <c r="T402" t="s">
        <v>6061</v>
      </c>
      <c r="U402" t="s">
        <v>6062</v>
      </c>
      <c r="V402" t="s">
        <v>6063</v>
      </c>
      <c r="W402" t="s">
        <v>2323</v>
      </c>
      <c r="X402" t="s">
        <v>748</v>
      </c>
      <c r="Y402" t="s">
        <v>502</v>
      </c>
      <c r="Z402" t="s">
        <v>4539</v>
      </c>
      <c r="AA402" t="s">
        <v>74</v>
      </c>
      <c r="AB402" t="s">
        <v>74</v>
      </c>
      <c r="AC402" t="s">
        <v>74</v>
      </c>
      <c r="AD402" t="s">
        <v>74</v>
      </c>
      <c r="AE402" t="s">
        <v>74</v>
      </c>
      <c r="AF402" t="s">
        <v>74</v>
      </c>
      <c r="AG402">
        <v>47</v>
      </c>
      <c r="AH402">
        <v>29</v>
      </c>
      <c r="AI402">
        <v>32</v>
      </c>
      <c r="AJ402">
        <v>0</v>
      </c>
      <c r="AK402">
        <v>20</v>
      </c>
      <c r="AL402" t="s">
        <v>1418</v>
      </c>
      <c r="AM402" t="s">
        <v>1419</v>
      </c>
      <c r="AN402" t="s">
        <v>1420</v>
      </c>
      <c r="AO402" t="s">
        <v>6064</v>
      </c>
      <c r="AP402" t="s">
        <v>6065</v>
      </c>
      <c r="AQ402" t="s">
        <v>74</v>
      </c>
      <c r="AR402" t="s">
        <v>6066</v>
      </c>
      <c r="AS402" t="s">
        <v>6067</v>
      </c>
      <c r="AT402" t="s">
        <v>5484</v>
      </c>
      <c r="AU402">
        <v>2004</v>
      </c>
      <c r="AV402">
        <v>49</v>
      </c>
      <c r="AW402">
        <v>9</v>
      </c>
      <c r="AX402" t="s">
        <v>74</v>
      </c>
      <c r="AY402" t="s">
        <v>74</v>
      </c>
      <c r="AZ402" t="s">
        <v>74</v>
      </c>
      <c r="BA402" t="s">
        <v>74</v>
      </c>
      <c r="BB402">
        <v>1195</v>
      </c>
      <c r="BC402">
        <v>1205</v>
      </c>
      <c r="BD402" t="s">
        <v>74</v>
      </c>
      <c r="BE402" t="s">
        <v>6068</v>
      </c>
      <c r="BF402" t="str">
        <f>HYPERLINK("http://dx.doi.org/10.1111/j.1365-2427.2004.01264.x","http://dx.doi.org/10.1111/j.1365-2427.2004.01264.x")</f>
        <v>http://dx.doi.org/10.1111/j.1365-2427.2004.01264.x</v>
      </c>
      <c r="BG402" t="s">
        <v>74</v>
      </c>
      <c r="BH402" t="s">
        <v>74</v>
      </c>
      <c r="BI402">
        <v>11</v>
      </c>
      <c r="BJ402" t="s">
        <v>3942</v>
      </c>
      <c r="BK402" t="s">
        <v>139</v>
      </c>
      <c r="BL402" t="s">
        <v>1797</v>
      </c>
      <c r="BM402" t="s">
        <v>6069</v>
      </c>
      <c r="BN402" t="s">
        <v>74</v>
      </c>
      <c r="BO402" t="s">
        <v>74</v>
      </c>
      <c r="BP402" t="s">
        <v>74</v>
      </c>
      <c r="BQ402" t="s">
        <v>74</v>
      </c>
      <c r="BR402" t="s">
        <v>98</v>
      </c>
      <c r="BS402" t="s">
        <v>6070</v>
      </c>
      <c r="BT402" t="str">
        <f>HYPERLINK("https%3A%2F%2Fwww.webofscience.com%2Fwos%2Fwoscc%2Ffull-record%2FWOS:000223376200009","View Full Record in Web of Science")</f>
        <v>View Full Record in Web of Science</v>
      </c>
    </row>
    <row r="403" spans="1:72" x14ac:dyDescent="0.15">
      <c r="A403" t="s">
        <v>122</v>
      </c>
      <c r="B403" t="s">
        <v>6071</v>
      </c>
      <c r="C403" t="s">
        <v>74</v>
      </c>
      <c r="D403" t="s">
        <v>74</v>
      </c>
      <c r="E403" t="s">
        <v>74</v>
      </c>
      <c r="F403" t="s">
        <v>6071</v>
      </c>
      <c r="G403" t="s">
        <v>74</v>
      </c>
      <c r="H403" t="s">
        <v>74</v>
      </c>
      <c r="I403" t="s">
        <v>6072</v>
      </c>
      <c r="J403" t="s">
        <v>3190</v>
      </c>
      <c r="K403" t="s">
        <v>74</v>
      </c>
      <c r="L403" t="s">
        <v>74</v>
      </c>
      <c r="M403" t="s">
        <v>79</v>
      </c>
      <c r="N403" t="s">
        <v>126</v>
      </c>
      <c r="O403" t="s">
        <v>74</v>
      </c>
      <c r="P403" t="s">
        <v>74</v>
      </c>
      <c r="Q403" t="s">
        <v>74</v>
      </c>
      <c r="R403" t="s">
        <v>74</v>
      </c>
      <c r="S403" t="s">
        <v>74</v>
      </c>
      <c r="T403" t="s">
        <v>6073</v>
      </c>
      <c r="U403" t="s">
        <v>6074</v>
      </c>
      <c r="V403" t="s">
        <v>6075</v>
      </c>
      <c r="W403" t="s">
        <v>6076</v>
      </c>
      <c r="X403" t="s">
        <v>6077</v>
      </c>
      <c r="Y403" t="s">
        <v>6078</v>
      </c>
      <c r="Z403" t="s">
        <v>6079</v>
      </c>
      <c r="AA403" t="s">
        <v>6080</v>
      </c>
      <c r="AB403" t="s">
        <v>6081</v>
      </c>
      <c r="AC403" t="s">
        <v>74</v>
      </c>
      <c r="AD403" t="s">
        <v>74</v>
      </c>
      <c r="AE403" t="s">
        <v>74</v>
      </c>
      <c r="AF403" t="s">
        <v>74</v>
      </c>
      <c r="AG403">
        <v>100</v>
      </c>
      <c r="AH403">
        <v>192</v>
      </c>
      <c r="AI403">
        <v>197</v>
      </c>
      <c r="AJ403">
        <v>0</v>
      </c>
      <c r="AK403">
        <v>31</v>
      </c>
      <c r="AL403" t="s">
        <v>3199</v>
      </c>
      <c r="AM403" t="s">
        <v>2601</v>
      </c>
      <c r="AN403" t="s">
        <v>3200</v>
      </c>
      <c r="AO403" t="s">
        <v>3201</v>
      </c>
      <c r="AP403" t="s">
        <v>3202</v>
      </c>
      <c r="AQ403" t="s">
        <v>74</v>
      </c>
      <c r="AR403" t="s">
        <v>3203</v>
      </c>
      <c r="AS403" t="s">
        <v>3204</v>
      </c>
      <c r="AT403" t="s">
        <v>5882</v>
      </c>
      <c r="AU403">
        <v>2004</v>
      </c>
      <c r="AV403">
        <v>116</v>
      </c>
      <c r="AW403" t="s">
        <v>3506</v>
      </c>
      <c r="AX403" t="s">
        <v>74</v>
      </c>
      <c r="AY403" t="s">
        <v>74</v>
      </c>
      <c r="AZ403" t="s">
        <v>74</v>
      </c>
      <c r="BA403" t="s">
        <v>74</v>
      </c>
      <c r="BB403">
        <v>1253</v>
      </c>
      <c r="BC403">
        <v>1279</v>
      </c>
      <c r="BD403" t="s">
        <v>74</v>
      </c>
      <c r="BE403" t="s">
        <v>6082</v>
      </c>
      <c r="BF403" t="str">
        <f>HYPERLINK("http://dx.doi.org/10.1130/B25347.1","http://dx.doi.org/10.1130/B25347.1")</f>
        <v>http://dx.doi.org/10.1130/B25347.1</v>
      </c>
      <c r="BG403" t="s">
        <v>74</v>
      </c>
      <c r="BH403" t="s">
        <v>74</v>
      </c>
      <c r="BI403">
        <v>27</v>
      </c>
      <c r="BJ403" t="s">
        <v>248</v>
      </c>
      <c r="BK403" t="s">
        <v>139</v>
      </c>
      <c r="BL403" t="s">
        <v>249</v>
      </c>
      <c r="BM403" t="s">
        <v>6083</v>
      </c>
      <c r="BN403" t="s">
        <v>74</v>
      </c>
      <c r="BO403" t="s">
        <v>74</v>
      </c>
      <c r="BP403" t="s">
        <v>74</v>
      </c>
      <c r="BQ403" t="s">
        <v>74</v>
      </c>
      <c r="BR403" t="s">
        <v>98</v>
      </c>
      <c r="BS403" t="s">
        <v>6084</v>
      </c>
      <c r="BT403" t="str">
        <f>HYPERLINK("https%3A%2F%2Fwww.webofscience.com%2Fwos%2Fwoscc%2Ffull-record%2FWOS:000223709600014","View Full Record in Web of Science")</f>
        <v>View Full Record in Web of Science</v>
      </c>
    </row>
    <row r="404" spans="1:72" x14ac:dyDescent="0.15">
      <c r="A404" t="s">
        <v>122</v>
      </c>
      <c r="B404" t="s">
        <v>6085</v>
      </c>
      <c r="C404" t="s">
        <v>74</v>
      </c>
      <c r="D404" t="s">
        <v>74</v>
      </c>
      <c r="E404" t="s">
        <v>74</v>
      </c>
      <c r="F404" t="s">
        <v>6085</v>
      </c>
      <c r="G404" t="s">
        <v>74</v>
      </c>
      <c r="H404" t="s">
        <v>74</v>
      </c>
      <c r="I404" t="s">
        <v>6086</v>
      </c>
      <c r="J404" t="s">
        <v>3211</v>
      </c>
      <c r="K404" t="s">
        <v>74</v>
      </c>
      <c r="L404" t="s">
        <v>74</v>
      </c>
      <c r="M404" t="s">
        <v>79</v>
      </c>
      <c r="N404" t="s">
        <v>126</v>
      </c>
      <c r="O404" t="s">
        <v>74</v>
      </c>
      <c r="P404" t="s">
        <v>74</v>
      </c>
      <c r="Q404" t="s">
        <v>74</v>
      </c>
      <c r="R404" t="s">
        <v>74</v>
      </c>
      <c r="S404" t="s">
        <v>74</v>
      </c>
      <c r="T404" t="s">
        <v>6087</v>
      </c>
      <c r="U404" t="s">
        <v>6088</v>
      </c>
      <c r="V404" t="s">
        <v>6089</v>
      </c>
      <c r="W404" t="s">
        <v>6090</v>
      </c>
      <c r="X404" t="s">
        <v>6091</v>
      </c>
      <c r="Y404" t="s">
        <v>6092</v>
      </c>
      <c r="Z404" t="s">
        <v>74</v>
      </c>
      <c r="AA404" t="s">
        <v>6093</v>
      </c>
      <c r="AB404" t="s">
        <v>6094</v>
      </c>
      <c r="AC404" t="s">
        <v>74</v>
      </c>
      <c r="AD404" t="s">
        <v>74</v>
      </c>
      <c r="AE404" t="s">
        <v>74</v>
      </c>
      <c r="AF404" t="s">
        <v>74</v>
      </c>
      <c r="AG404">
        <v>40</v>
      </c>
      <c r="AH404">
        <v>109</v>
      </c>
      <c r="AI404">
        <v>114</v>
      </c>
      <c r="AJ404">
        <v>1</v>
      </c>
      <c r="AK404">
        <v>42</v>
      </c>
      <c r="AL404" t="s">
        <v>3236</v>
      </c>
      <c r="AM404" t="s">
        <v>2601</v>
      </c>
      <c r="AN404" t="s">
        <v>3200</v>
      </c>
      <c r="AO404" t="s">
        <v>3221</v>
      </c>
      <c r="AP404" t="s">
        <v>74</v>
      </c>
      <c r="AQ404" t="s">
        <v>74</v>
      </c>
      <c r="AR404" t="s">
        <v>3211</v>
      </c>
      <c r="AS404" t="s">
        <v>249</v>
      </c>
      <c r="AT404" t="s">
        <v>5484</v>
      </c>
      <c r="AU404">
        <v>2004</v>
      </c>
      <c r="AV404">
        <v>32</v>
      </c>
      <c r="AW404">
        <v>9</v>
      </c>
      <c r="AX404" t="s">
        <v>74</v>
      </c>
      <c r="AY404" t="s">
        <v>74</v>
      </c>
      <c r="AZ404" t="s">
        <v>74</v>
      </c>
      <c r="BA404" t="s">
        <v>74</v>
      </c>
      <c r="BB404">
        <v>753</v>
      </c>
      <c r="BC404">
        <v>756</v>
      </c>
      <c r="BD404" t="s">
        <v>74</v>
      </c>
      <c r="BE404" t="s">
        <v>6095</v>
      </c>
      <c r="BF404" t="str">
        <f>HYPERLINK("http://dx.doi.org/10.1130/G20662.1","http://dx.doi.org/10.1130/G20662.1")</f>
        <v>http://dx.doi.org/10.1130/G20662.1</v>
      </c>
      <c r="BG404" t="s">
        <v>74</v>
      </c>
      <c r="BH404" t="s">
        <v>74</v>
      </c>
      <c r="BI404">
        <v>4</v>
      </c>
      <c r="BJ404" t="s">
        <v>249</v>
      </c>
      <c r="BK404" t="s">
        <v>139</v>
      </c>
      <c r="BL404" t="s">
        <v>249</v>
      </c>
      <c r="BM404" t="s">
        <v>6096</v>
      </c>
      <c r="BN404" t="s">
        <v>74</v>
      </c>
      <c r="BO404" t="s">
        <v>74</v>
      </c>
      <c r="BP404" t="s">
        <v>74</v>
      </c>
      <c r="BQ404" t="s">
        <v>74</v>
      </c>
      <c r="BR404" t="s">
        <v>98</v>
      </c>
      <c r="BS404" t="s">
        <v>6097</v>
      </c>
      <c r="BT404" t="str">
        <f>HYPERLINK("https%3A%2F%2Fwww.webofscience.com%2Fwos%2Fwoscc%2Ffull-record%2FWOS:000223696500005","View Full Record in Web of Science")</f>
        <v>View Full Record in Web of Science</v>
      </c>
    </row>
    <row r="405" spans="1:72" x14ac:dyDescent="0.15">
      <c r="A405" t="s">
        <v>122</v>
      </c>
      <c r="B405" t="s">
        <v>6098</v>
      </c>
      <c r="C405" t="s">
        <v>74</v>
      </c>
      <c r="D405" t="s">
        <v>74</v>
      </c>
      <c r="E405" t="s">
        <v>74</v>
      </c>
      <c r="F405" t="s">
        <v>6098</v>
      </c>
      <c r="G405" t="s">
        <v>74</v>
      </c>
      <c r="H405" t="s">
        <v>74</v>
      </c>
      <c r="I405" t="s">
        <v>6099</v>
      </c>
      <c r="J405" t="s">
        <v>3211</v>
      </c>
      <c r="K405" t="s">
        <v>74</v>
      </c>
      <c r="L405" t="s">
        <v>74</v>
      </c>
      <c r="M405" t="s">
        <v>79</v>
      </c>
      <c r="N405" t="s">
        <v>126</v>
      </c>
      <c r="O405" t="s">
        <v>74</v>
      </c>
      <c r="P405" t="s">
        <v>74</v>
      </c>
      <c r="Q405" t="s">
        <v>74</v>
      </c>
      <c r="R405" t="s">
        <v>74</v>
      </c>
      <c r="S405" t="s">
        <v>74</v>
      </c>
      <c r="T405" t="s">
        <v>6100</v>
      </c>
      <c r="U405" t="s">
        <v>6101</v>
      </c>
      <c r="V405" t="s">
        <v>6102</v>
      </c>
      <c r="W405" t="s">
        <v>6103</v>
      </c>
      <c r="X405" t="s">
        <v>6104</v>
      </c>
      <c r="Y405" t="s">
        <v>2548</v>
      </c>
      <c r="Z405" t="s">
        <v>74</v>
      </c>
      <c r="AA405" t="s">
        <v>6105</v>
      </c>
      <c r="AB405" t="s">
        <v>6106</v>
      </c>
      <c r="AC405" t="s">
        <v>74</v>
      </c>
      <c r="AD405" t="s">
        <v>74</v>
      </c>
      <c r="AE405" t="s">
        <v>74</v>
      </c>
      <c r="AF405" t="s">
        <v>74</v>
      </c>
      <c r="AG405">
        <v>38</v>
      </c>
      <c r="AH405">
        <v>92</v>
      </c>
      <c r="AI405">
        <v>102</v>
      </c>
      <c r="AJ405">
        <v>1</v>
      </c>
      <c r="AK405">
        <v>14</v>
      </c>
      <c r="AL405" t="s">
        <v>3199</v>
      </c>
      <c r="AM405" t="s">
        <v>2601</v>
      </c>
      <c r="AN405" t="s">
        <v>3200</v>
      </c>
      <c r="AO405" t="s">
        <v>3221</v>
      </c>
      <c r="AP405" t="s">
        <v>3222</v>
      </c>
      <c r="AQ405" t="s">
        <v>74</v>
      </c>
      <c r="AR405" t="s">
        <v>3211</v>
      </c>
      <c r="AS405" t="s">
        <v>249</v>
      </c>
      <c r="AT405" t="s">
        <v>5484</v>
      </c>
      <c r="AU405">
        <v>2004</v>
      </c>
      <c r="AV405">
        <v>32</v>
      </c>
      <c r="AW405">
        <v>9</v>
      </c>
      <c r="AX405" t="s">
        <v>74</v>
      </c>
      <c r="AY405" t="s">
        <v>74</v>
      </c>
      <c r="AZ405" t="s">
        <v>74</v>
      </c>
      <c r="BA405" t="s">
        <v>74</v>
      </c>
      <c r="BB405">
        <v>797</v>
      </c>
      <c r="BC405">
        <v>800</v>
      </c>
      <c r="BD405" t="s">
        <v>74</v>
      </c>
      <c r="BE405" t="s">
        <v>6107</v>
      </c>
      <c r="BF405" t="str">
        <f>HYPERLINK("http://dx.doi.org/10.1130/G20537.1","http://dx.doi.org/10.1130/G20537.1")</f>
        <v>http://dx.doi.org/10.1130/G20537.1</v>
      </c>
      <c r="BG405" t="s">
        <v>74</v>
      </c>
      <c r="BH405" t="s">
        <v>74</v>
      </c>
      <c r="BI405">
        <v>4</v>
      </c>
      <c r="BJ405" t="s">
        <v>249</v>
      </c>
      <c r="BK405" t="s">
        <v>139</v>
      </c>
      <c r="BL405" t="s">
        <v>249</v>
      </c>
      <c r="BM405" t="s">
        <v>6096</v>
      </c>
      <c r="BN405" t="s">
        <v>74</v>
      </c>
      <c r="BO405" t="s">
        <v>988</v>
      </c>
      <c r="BP405" t="s">
        <v>74</v>
      </c>
      <c r="BQ405" t="s">
        <v>74</v>
      </c>
      <c r="BR405" t="s">
        <v>98</v>
      </c>
      <c r="BS405" t="s">
        <v>6108</v>
      </c>
      <c r="BT405" t="str">
        <f>HYPERLINK("https%3A%2F%2Fwww.webofscience.com%2Fwos%2Fwoscc%2Ffull-record%2FWOS:000223696500016","View Full Record in Web of Science")</f>
        <v>View Full Record in Web of Science</v>
      </c>
    </row>
    <row r="406" spans="1:72" x14ac:dyDescent="0.15">
      <c r="A406" t="s">
        <v>122</v>
      </c>
      <c r="B406" t="s">
        <v>6109</v>
      </c>
      <c r="C406" t="s">
        <v>74</v>
      </c>
      <c r="D406" t="s">
        <v>74</v>
      </c>
      <c r="E406" t="s">
        <v>74</v>
      </c>
      <c r="F406" t="s">
        <v>6109</v>
      </c>
      <c r="G406" t="s">
        <v>74</v>
      </c>
      <c r="H406" t="s">
        <v>74</v>
      </c>
      <c r="I406" t="s">
        <v>6110</v>
      </c>
      <c r="J406" t="s">
        <v>6111</v>
      </c>
      <c r="K406" t="s">
        <v>74</v>
      </c>
      <c r="L406" t="s">
        <v>74</v>
      </c>
      <c r="M406" t="s">
        <v>79</v>
      </c>
      <c r="N406" t="s">
        <v>126</v>
      </c>
      <c r="O406" t="s">
        <v>74</v>
      </c>
      <c r="P406" t="s">
        <v>74</v>
      </c>
      <c r="Q406" t="s">
        <v>74</v>
      </c>
      <c r="R406" t="s">
        <v>74</v>
      </c>
      <c r="S406" t="s">
        <v>74</v>
      </c>
      <c r="T406" t="s">
        <v>74</v>
      </c>
      <c r="U406" t="s">
        <v>6112</v>
      </c>
      <c r="V406" t="s">
        <v>6113</v>
      </c>
      <c r="W406" t="s">
        <v>6114</v>
      </c>
      <c r="X406" t="s">
        <v>6115</v>
      </c>
      <c r="Y406" t="s">
        <v>6116</v>
      </c>
      <c r="Z406" t="s">
        <v>74</v>
      </c>
      <c r="AA406" t="s">
        <v>74</v>
      </c>
      <c r="AB406" t="s">
        <v>74</v>
      </c>
      <c r="AC406" t="s">
        <v>74</v>
      </c>
      <c r="AD406" t="s">
        <v>74</v>
      </c>
      <c r="AE406" t="s">
        <v>74</v>
      </c>
      <c r="AF406" t="s">
        <v>74</v>
      </c>
      <c r="AG406">
        <v>19</v>
      </c>
      <c r="AH406">
        <v>0</v>
      </c>
      <c r="AI406">
        <v>0</v>
      </c>
      <c r="AJ406">
        <v>0</v>
      </c>
      <c r="AK406">
        <v>1</v>
      </c>
      <c r="AL406" t="s">
        <v>1229</v>
      </c>
      <c r="AM406" t="s">
        <v>613</v>
      </c>
      <c r="AN406" t="s">
        <v>1230</v>
      </c>
      <c r="AO406" t="s">
        <v>6117</v>
      </c>
      <c r="AP406" t="s">
        <v>6118</v>
      </c>
      <c r="AQ406" t="s">
        <v>74</v>
      </c>
      <c r="AR406" t="s">
        <v>6119</v>
      </c>
      <c r="AS406" t="s">
        <v>6120</v>
      </c>
      <c r="AT406" t="s">
        <v>5882</v>
      </c>
      <c r="AU406">
        <v>2004</v>
      </c>
      <c r="AV406">
        <v>44</v>
      </c>
      <c r="AW406">
        <v>5</v>
      </c>
      <c r="AX406" t="s">
        <v>74</v>
      </c>
      <c r="AY406" t="s">
        <v>74</v>
      </c>
      <c r="AZ406" t="s">
        <v>74</v>
      </c>
      <c r="BA406" t="s">
        <v>74</v>
      </c>
      <c r="BB406">
        <v>632</v>
      </c>
      <c r="BC406">
        <v>637</v>
      </c>
      <c r="BD406" t="s">
        <v>74</v>
      </c>
      <c r="BE406" t="s">
        <v>74</v>
      </c>
      <c r="BF406" t="s">
        <v>74</v>
      </c>
      <c r="BG406" t="s">
        <v>74</v>
      </c>
      <c r="BH406" t="s">
        <v>74</v>
      </c>
      <c r="BI406">
        <v>6</v>
      </c>
      <c r="BJ406" t="s">
        <v>271</v>
      </c>
      <c r="BK406" t="s">
        <v>139</v>
      </c>
      <c r="BL406" t="s">
        <v>271</v>
      </c>
      <c r="BM406" t="s">
        <v>6121</v>
      </c>
      <c r="BN406" t="s">
        <v>74</v>
      </c>
      <c r="BO406" t="s">
        <v>74</v>
      </c>
      <c r="BP406" t="s">
        <v>74</v>
      </c>
      <c r="BQ406" t="s">
        <v>74</v>
      </c>
      <c r="BR406" t="s">
        <v>98</v>
      </c>
      <c r="BS406" t="s">
        <v>6122</v>
      </c>
      <c r="BT406" t="str">
        <f>HYPERLINK("https%3A%2F%2Fwww.webofscience.com%2Fwos%2Fwoscc%2Ffull-record%2FWOS:000224879700016","View Full Record in Web of Science")</f>
        <v>View Full Record in Web of Science</v>
      </c>
    </row>
    <row r="407" spans="1:72" x14ac:dyDescent="0.15">
      <c r="A407" t="s">
        <v>122</v>
      </c>
      <c r="B407" t="s">
        <v>6123</v>
      </c>
      <c r="C407" t="s">
        <v>74</v>
      </c>
      <c r="D407" t="s">
        <v>74</v>
      </c>
      <c r="E407" t="s">
        <v>74</v>
      </c>
      <c r="F407" t="s">
        <v>6123</v>
      </c>
      <c r="G407" t="s">
        <v>74</v>
      </c>
      <c r="H407" t="s">
        <v>74</v>
      </c>
      <c r="I407" t="s">
        <v>6124</v>
      </c>
      <c r="J407" t="s">
        <v>6125</v>
      </c>
      <c r="K407" t="s">
        <v>74</v>
      </c>
      <c r="L407" t="s">
        <v>74</v>
      </c>
      <c r="M407" t="s">
        <v>79</v>
      </c>
      <c r="N407" t="s">
        <v>126</v>
      </c>
      <c r="O407" t="s">
        <v>74</v>
      </c>
      <c r="P407" t="s">
        <v>74</v>
      </c>
      <c r="Q407" t="s">
        <v>74</v>
      </c>
      <c r="R407" t="s">
        <v>74</v>
      </c>
      <c r="S407" t="s">
        <v>74</v>
      </c>
      <c r="T407" t="s">
        <v>74</v>
      </c>
      <c r="U407" t="s">
        <v>6126</v>
      </c>
      <c r="V407" t="s">
        <v>74</v>
      </c>
      <c r="W407" t="s">
        <v>747</v>
      </c>
      <c r="X407" t="s">
        <v>748</v>
      </c>
      <c r="Y407" t="s">
        <v>6127</v>
      </c>
      <c r="Z407" t="s">
        <v>6128</v>
      </c>
      <c r="AA407" t="s">
        <v>74</v>
      </c>
      <c r="AB407" t="s">
        <v>74</v>
      </c>
      <c r="AC407" t="s">
        <v>74</v>
      </c>
      <c r="AD407" t="s">
        <v>74</v>
      </c>
      <c r="AE407" t="s">
        <v>74</v>
      </c>
      <c r="AF407" t="s">
        <v>74</v>
      </c>
      <c r="AG407">
        <v>9</v>
      </c>
      <c r="AH407">
        <v>7</v>
      </c>
      <c r="AI407">
        <v>7</v>
      </c>
      <c r="AJ407">
        <v>0</v>
      </c>
      <c r="AK407">
        <v>7</v>
      </c>
      <c r="AL407" t="s">
        <v>1330</v>
      </c>
      <c r="AM407" t="s">
        <v>197</v>
      </c>
      <c r="AN407" t="s">
        <v>1331</v>
      </c>
      <c r="AO407" t="s">
        <v>6129</v>
      </c>
      <c r="AP407" t="s">
        <v>74</v>
      </c>
      <c r="AQ407" t="s">
        <v>74</v>
      </c>
      <c r="AR407" t="s">
        <v>6125</v>
      </c>
      <c r="AS407" t="s">
        <v>6130</v>
      </c>
      <c r="AT407" t="s">
        <v>5484</v>
      </c>
      <c r="AU407">
        <v>2004</v>
      </c>
      <c r="AV407">
        <v>146</v>
      </c>
      <c r="AW407" t="s">
        <v>74</v>
      </c>
      <c r="AX407" t="s">
        <v>74</v>
      </c>
      <c r="AY407">
        <v>1</v>
      </c>
      <c r="AZ407" t="s">
        <v>74</v>
      </c>
      <c r="BA407" t="s">
        <v>74</v>
      </c>
      <c r="BB407">
        <v>90</v>
      </c>
      <c r="BC407">
        <v>91</v>
      </c>
      <c r="BD407" t="s">
        <v>74</v>
      </c>
      <c r="BE407" t="s">
        <v>6131</v>
      </c>
      <c r="BF407" t="str">
        <f>HYPERLINK("http://dx.doi.org/10.1111/j.1474-919X.2004.00332.x","http://dx.doi.org/10.1111/j.1474-919X.2004.00332.x")</f>
        <v>http://dx.doi.org/10.1111/j.1474-919X.2004.00332.x</v>
      </c>
      <c r="BG407" t="s">
        <v>74</v>
      </c>
      <c r="BH407" t="s">
        <v>74</v>
      </c>
      <c r="BI407">
        <v>2</v>
      </c>
      <c r="BJ407" t="s">
        <v>2055</v>
      </c>
      <c r="BK407" t="s">
        <v>139</v>
      </c>
      <c r="BL407" t="s">
        <v>205</v>
      </c>
      <c r="BM407" t="s">
        <v>6132</v>
      </c>
      <c r="BN407" t="s">
        <v>74</v>
      </c>
      <c r="BO407" t="s">
        <v>273</v>
      </c>
      <c r="BP407" t="s">
        <v>74</v>
      </c>
      <c r="BQ407" t="s">
        <v>74</v>
      </c>
      <c r="BR407" t="s">
        <v>98</v>
      </c>
      <c r="BS407" t="s">
        <v>6133</v>
      </c>
      <c r="BT407" t="str">
        <f>HYPERLINK("https%3A%2F%2Fwww.webofscience.com%2Fwos%2Fwoscc%2Ffull-record%2FWOS:000224166900014","View Full Record in Web of Science")</f>
        <v>View Full Record in Web of Science</v>
      </c>
    </row>
    <row r="408" spans="1:72" x14ac:dyDescent="0.15">
      <c r="A408" t="s">
        <v>122</v>
      </c>
      <c r="B408" t="s">
        <v>6134</v>
      </c>
      <c r="C408" t="s">
        <v>74</v>
      </c>
      <c r="D408" t="s">
        <v>74</v>
      </c>
      <c r="E408" t="s">
        <v>74</v>
      </c>
      <c r="F408" t="s">
        <v>6134</v>
      </c>
      <c r="G408" t="s">
        <v>74</v>
      </c>
      <c r="H408" t="s">
        <v>74</v>
      </c>
      <c r="I408" t="s">
        <v>6135</v>
      </c>
      <c r="J408" t="s">
        <v>6136</v>
      </c>
      <c r="K408" t="s">
        <v>74</v>
      </c>
      <c r="L408" t="s">
        <v>74</v>
      </c>
      <c r="M408" t="s">
        <v>79</v>
      </c>
      <c r="N408" t="s">
        <v>126</v>
      </c>
      <c r="O408" t="s">
        <v>74</v>
      </c>
      <c r="P408" t="s">
        <v>74</v>
      </c>
      <c r="Q408" t="s">
        <v>74</v>
      </c>
      <c r="R408" t="s">
        <v>74</v>
      </c>
      <c r="S408" t="s">
        <v>74</v>
      </c>
      <c r="T408" t="s">
        <v>6137</v>
      </c>
      <c r="U408" t="s">
        <v>6138</v>
      </c>
      <c r="V408" t="s">
        <v>6139</v>
      </c>
      <c r="W408" t="s">
        <v>6140</v>
      </c>
      <c r="X408" t="s">
        <v>6141</v>
      </c>
      <c r="Y408" t="s">
        <v>880</v>
      </c>
      <c r="Z408" t="s">
        <v>881</v>
      </c>
      <c r="AA408" t="s">
        <v>6142</v>
      </c>
      <c r="AB408" t="s">
        <v>6143</v>
      </c>
      <c r="AC408" t="s">
        <v>74</v>
      </c>
      <c r="AD408" t="s">
        <v>74</v>
      </c>
      <c r="AE408" t="s">
        <v>74</v>
      </c>
      <c r="AF408" t="s">
        <v>74</v>
      </c>
      <c r="AG408">
        <v>82</v>
      </c>
      <c r="AH408">
        <v>58</v>
      </c>
      <c r="AI408">
        <v>66</v>
      </c>
      <c r="AJ408">
        <v>0</v>
      </c>
      <c r="AK408">
        <v>33</v>
      </c>
      <c r="AL408" t="s">
        <v>196</v>
      </c>
      <c r="AM408" t="s">
        <v>197</v>
      </c>
      <c r="AN408" t="s">
        <v>198</v>
      </c>
      <c r="AO408" t="s">
        <v>6144</v>
      </c>
      <c r="AP408" t="s">
        <v>6145</v>
      </c>
      <c r="AQ408" t="s">
        <v>74</v>
      </c>
      <c r="AR408" t="s">
        <v>6146</v>
      </c>
      <c r="AS408" t="s">
        <v>6147</v>
      </c>
      <c r="AT408" t="s">
        <v>5484</v>
      </c>
      <c r="AU408">
        <v>2004</v>
      </c>
      <c r="AV408">
        <v>61</v>
      </c>
      <c r="AW408">
        <v>6</v>
      </c>
      <c r="AX408" t="s">
        <v>74</v>
      </c>
      <c r="AY408" t="s">
        <v>74</v>
      </c>
      <c r="AZ408" t="s">
        <v>74</v>
      </c>
      <c r="BA408" t="s">
        <v>74</v>
      </c>
      <c r="BB408">
        <v>1014</v>
      </c>
      <c r="BC408">
        <v>1027</v>
      </c>
      <c r="BD408" t="s">
        <v>74</v>
      </c>
      <c r="BE408" t="s">
        <v>6148</v>
      </c>
      <c r="BF408" t="str">
        <f>HYPERLINK("http://dx.doi.org/10.1016/j.icesjms.2004.07.012","http://dx.doi.org/10.1016/j.icesjms.2004.07.012")</f>
        <v>http://dx.doi.org/10.1016/j.icesjms.2004.07.012</v>
      </c>
      <c r="BG408" t="s">
        <v>74</v>
      </c>
      <c r="BH408" t="s">
        <v>74</v>
      </c>
      <c r="BI408">
        <v>14</v>
      </c>
      <c r="BJ408" t="s">
        <v>6149</v>
      </c>
      <c r="BK408" t="s">
        <v>139</v>
      </c>
      <c r="BL408" t="s">
        <v>6149</v>
      </c>
      <c r="BM408" t="s">
        <v>6150</v>
      </c>
      <c r="BN408" t="s">
        <v>74</v>
      </c>
      <c r="BO408" t="s">
        <v>273</v>
      </c>
      <c r="BP408" t="s">
        <v>74</v>
      </c>
      <c r="BQ408" t="s">
        <v>74</v>
      </c>
      <c r="BR408" t="s">
        <v>98</v>
      </c>
      <c r="BS408" t="s">
        <v>6151</v>
      </c>
      <c r="BT408" t="str">
        <f>HYPERLINK("https%3A%2F%2Fwww.webofscience.com%2Fwos%2Fwoscc%2Ffull-record%2FWOS:000224546800015","View Full Record in Web of Science")</f>
        <v>View Full Record in Web of Science</v>
      </c>
    </row>
    <row r="409" spans="1:72" x14ac:dyDescent="0.15">
      <c r="A409" t="s">
        <v>122</v>
      </c>
      <c r="B409" t="s">
        <v>6152</v>
      </c>
      <c r="C409" t="s">
        <v>74</v>
      </c>
      <c r="D409" t="s">
        <v>74</v>
      </c>
      <c r="E409" t="s">
        <v>74</v>
      </c>
      <c r="F409" t="s">
        <v>6152</v>
      </c>
      <c r="G409" t="s">
        <v>74</v>
      </c>
      <c r="H409" t="s">
        <v>74</v>
      </c>
      <c r="I409" t="s">
        <v>6153</v>
      </c>
      <c r="J409" t="s">
        <v>6154</v>
      </c>
      <c r="K409" t="s">
        <v>74</v>
      </c>
      <c r="L409" t="s">
        <v>74</v>
      </c>
      <c r="M409" t="s">
        <v>79</v>
      </c>
      <c r="N409" t="s">
        <v>6155</v>
      </c>
      <c r="O409" t="s">
        <v>74</v>
      </c>
      <c r="P409" t="s">
        <v>74</v>
      </c>
      <c r="Q409" t="s">
        <v>74</v>
      </c>
      <c r="R409" t="s">
        <v>74</v>
      </c>
      <c r="S409" t="s">
        <v>74</v>
      </c>
      <c r="T409" t="s">
        <v>74</v>
      </c>
      <c r="U409" t="s">
        <v>74</v>
      </c>
      <c r="V409" t="s">
        <v>74</v>
      </c>
      <c r="W409" t="s">
        <v>6156</v>
      </c>
      <c r="X409" t="s">
        <v>6157</v>
      </c>
      <c r="Y409" t="s">
        <v>6158</v>
      </c>
      <c r="Z409" t="s">
        <v>6159</v>
      </c>
      <c r="AA409" t="s">
        <v>74</v>
      </c>
      <c r="AB409" t="s">
        <v>74</v>
      </c>
      <c r="AC409" t="s">
        <v>74</v>
      </c>
      <c r="AD409" t="s">
        <v>74</v>
      </c>
      <c r="AE409" t="s">
        <v>74</v>
      </c>
      <c r="AF409" t="s">
        <v>74</v>
      </c>
      <c r="AG409">
        <v>1</v>
      </c>
      <c r="AH409">
        <v>0</v>
      </c>
      <c r="AI409">
        <v>0</v>
      </c>
      <c r="AJ409">
        <v>0</v>
      </c>
      <c r="AK409">
        <v>1</v>
      </c>
      <c r="AL409" t="s">
        <v>4812</v>
      </c>
      <c r="AM409" t="s">
        <v>4813</v>
      </c>
      <c r="AN409" t="s">
        <v>4814</v>
      </c>
      <c r="AO409" t="s">
        <v>6160</v>
      </c>
      <c r="AP409" t="s">
        <v>6161</v>
      </c>
      <c r="AQ409" t="s">
        <v>74</v>
      </c>
      <c r="AR409" t="s">
        <v>6162</v>
      </c>
      <c r="AS409" t="s">
        <v>6163</v>
      </c>
      <c r="AT409" t="s">
        <v>5484</v>
      </c>
      <c r="AU409">
        <v>2004</v>
      </c>
      <c r="AV409">
        <v>30</v>
      </c>
      <c r="AW409">
        <v>3</v>
      </c>
      <c r="AX409" t="s">
        <v>74</v>
      </c>
      <c r="AY409" t="s">
        <v>74</v>
      </c>
      <c r="AZ409" t="s">
        <v>74</v>
      </c>
      <c r="BA409" t="s">
        <v>74</v>
      </c>
      <c r="BB409">
        <v>281</v>
      </c>
      <c r="BC409">
        <v>285</v>
      </c>
      <c r="BD409" t="s">
        <v>74</v>
      </c>
      <c r="BE409" t="s">
        <v>6164</v>
      </c>
      <c r="BF409" t="str">
        <f>HYPERLINK("http://dx.doi.org/10.1080/01647950408684396","http://dx.doi.org/10.1080/01647950408684396")</f>
        <v>http://dx.doi.org/10.1080/01647950408684396</v>
      </c>
      <c r="BG409" t="s">
        <v>74</v>
      </c>
      <c r="BH409" t="s">
        <v>74</v>
      </c>
      <c r="BI409">
        <v>5</v>
      </c>
      <c r="BJ409" t="s">
        <v>6165</v>
      </c>
      <c r="BK409" t="s">
        <v>139</v>
      </c>
      <c r="BL409" t="s">
        <v>6165</v>
      </c>
      <c r="BM409" t="s">
        <v>6166</v>
      </c>
      <c r="BN409" t="s">
        <v>74</v>
      </c>
      <c r="BO409" t="s">
        <v>74</v>
      </c>
      <c r="BP409" t="s">
        <v>74</v>
      </c>
      <c r="BQ409" t="s">
        <v>74</v>
      </c>
      <c r="BR409" t="s">
        <v>98</v>
      </c>
      <c r="BS409" t="s">
        <v>6167</v>
      </c>
      <c r="BT409" t="str">
        <f>HYPERLINK("https%3A%2F%2Fwww.webofscience.com%2Fwos%2Fwoscc%2Ffull-record%2FWOS:000223600300009","View Full Record in Web of Science")</f>
        <v>View Full Record in Web of Science</v>
      </c>
    </row>
    <row r="410" spans="1:72" x14ac:dyDescent="0.15">
      <c r="A410" t="s">
        <v>122</v>
      </c>
      <c r="B410" t="s">
        <v>6168</v>
      </c>
      <c r="C410" t="s">
        <v>74</v>
      </c>
      <c r="D410" t="s">
        <v>74</v>
      </c>
      <c r="E410" t="s">
        <v>74</v>
      </c>
      <c r="F410" t="s">
        <v>6168</v>
      </c>
      <c r="G410" t="s">
        <v>74</v>
      </c>
      <c r="H410" t="s">
        <v>74</v>
      </c>
      <c r="I410" t="s">
        <v>6169</v>
      </c>
      <c r="J410" t="s">
        <v>3291</v>
      </c>
      <c r="K410" t="s">
        <v>74</v>
      </c>
      <c r="L410" t="s">
        <v>74</v>
      </c>
      <c r="M410" t="s">
        <v>79</v>
      </c>
      <c r="N410" t="s">
        <v>126</v>
      </c>
      <c r="O410" t="s">
        <v>74</v>
      </c>
      <c r="P410" t="s">
        <v>74</v>
      </c>
      <c r="Q410" t="s">
        <v>74</v>
      </c>
      <c r="R410" t="s">
        <v>74</v>
      </c>
      <c r="S410" t="s">
        <v>74</v>
      </c>
      <c r="T410" t="s">
        <v>74</v>
      </c>
      <c r="U410" t="s">
        <v>6170</v>
      </c>
      <c r="V410" t="s">
        <v>6171</v>
      </c>
      <c r="W410" t="s">
        <v>6172</v>
      </c>
      <c r="X410" t="s">
        <v>1916</v>
      </c>
      <c r="Y410" t="s">
        <v>6173</v>
      </c>
      <c r="Z410" t="s">
        <v>6174</v>
      </c>
      <c r="AA410" t="s">
        <v>6175</v>
      </c>
      <c r="AB410" t="s">
        <v>6176</v>
      </c>
      <c r="AC410" t="s">
        <v>74</v>
      </c>
      <c r="AD410" t="s">
        <v>74</v>
      </c>
      <c r="AE410" t="s">
        <v>74</v>
      </c>
      <c r="AF410" t="s">
        <v>74</v>
      </c>
      <c r="AG410">
        <v>39</v>
      </c>
      <c r="AH410">
        <v>89</v>
      </c>
      <c r="AI410">
        <v>103</v>
      </c>
      <c r="AJ410">
        <v>0</v>
      </c>
      <c r="AK410">
        <v>9</v>
      </c>
      <c r="AL410" t="s">
        <v>3300</v>
      </c>
      <c r="AM410" t="s">
        <v>375</v>
      </c>
      <c r="AN410" t="s">
        <v>3301</v>
      </c>
      <c r="AO410" t="s">
        <v>3302</v>
      </c>
      <c r="AP410" t="s">
        <v>3303</v>
      </c>
      <c r="AQ410" t="s">
        <v>74</v>
      </c>
      <c r="AR410" t="s">
        <v>3304</v>
      </c>
      <c r="AS410" t="s">
        <v>3305</v>
      </c>
      <c r="AT410" t="s">
        <v>5484</v>
      </c>
      <c r="AU410">
        <v>2004</v>
      </c>
      <c r="AV410">
        <v>54</v>
      </c>
      <c r="AW410" t="s">
        <v>74</v>
      </c>
      <c r="AX410">
        <v>5</v>
      </c>
      <c r="AY410" t="s">
        <v>74</v>
      </c>
      <c r="AZ410" t="s">
        <v>74</v>
      </c>
      <c r="BA410" t="s">
        <v>74</v>
      </c>
      <c r="BB410">
        <v>1521</v>
      </c>
      <c r="BC410">
        <v>1526</v>
      </c>
      <c r="BD410" t="s">
        <v>74</v>
      </c>
      <c r="BE410" t="s">
        <v>6177</v>
      </c>
      <c r="BF410" t="str">
        <f>HYPERLINK("http://dx.doi.org/10.1099/ijs.0.63078-0","http://dx.doi.org/10.1099/ijs.0.63078-0")</f>
        <v>http://dx.doi.org/10.1099/ijs.0.63078-0</v>
      </c>
      <c r="BG410" t="s">
        <v>74</v>
      </c>
      <c r="BH410" t="s">
        <v>74</v>
      </c>
      <c r="BI410">
        <v>6</v>
      </c>
      <c r="BJ410" t="s">
        <v>1536</v>
      </c>
      <c r="BK410" t="s">
        <v>139</v>
      </c>
      <c r="BL410" t="s">
        <v>1536</v>
      </c>
      <c r="BM410" t="s">
        <v>6178</v>
      </c>
      <c r="BN410">
        <v>15388704</v>
      </c>
      <c r="BO410" t="s">
        <v>273</v>
      </c>
      <c r="BP410" t="s">
        <v>74</v>
      </c>
      <c r="BQ410" t="s">
        <v>74</v>
      </c>
      <c r="BR410" t="s">
        <v>98</v>
      </c>
      <c r="BS410" t="s">
        <v>6179</v>
      </c>
      <c r="BT410" t="str">
        <f>HYPERLINK("https%3A%2F%2Fwww.webofscience.com%2Fwos%2Fwoscc%2Ffull-record%2FWOS:000224259100014","View Full Record in Web of Science")</f>
        <v>View Full Record in Web of Science</v>
      </c>
    </row>
    <row r="411" spans="1:72" x14ac:dyDescent="0.15">
      <c r="A411" t="s">
        <v>122</v>
      </c>
      <c r="B411" t="s">
        <v>6180</v>
      </c>
      <c r="C411" t="s">
        <v>74</v>
      </c>
      <c r="D411" t="s">
        <v>74</v>
      </c>
      <c r="E411" t="s">
        <v>74</v>
      </c>
      <c r="F411" t="s">
        <v>6180</v>
      </c>
      <c r="G411" t="s">
        <v>74</v>
      </c>
      <c r="H411" t="s">
        <v>74</v>
      </c>
      <c r="I411" t="s">
        <v>6181</v>
      </c>
      <c r="J411" t="s">
        <v>3291</v>
      </c>
      <c r="K411" t="s">
        <v>74</v>
      </c>
      <c r="L411" t="s">
        <v>74</v>
      </c>
      <c r="M411" t="s">
        <v>79</v>
      </c>
      <c r="N411" t="s">
        <v>126</v>
      </c>
      <c r="O411" t="s">
        <v>74</v>
      </c>
      <c r="P411" t="s">
        <v>74</v>
      </c>
      <c r="Q411" t="s">
        <v>74</v>
      </c>
      <c r="R411" t="s">
        <v>74</v>
      </c>
      <c r="S411" t="s">
        <v>74</v>
      </c>
      <c r="T411" t="s">
        <v>74</v>
      </c>
      <c r="U411" t="s">
        <v>6182</v>
      </c>
      <c r="V411" t="s">
        <v>6183</v>
      </c>
      <c r="W411" t="s">
        <v>6184</v>
      </c>
      <c r="X411" t="s">
        <v>6185</v>
      </c>
      <c r="Y411" t="s">
        <v>6186</v>
      </c>
      <c r="Z411" t="s">
        <v>3297</v>
      </c>
      <c r="AA411" t="s">
        <v>74</v>
      </c>
      <c r="AB411" t="s">
        <v>3299</v>
      </c>
      <c r="AC411" t="s">
        <v>74</v>
      </c>
      <c r="AD411" t="s">
        <v>74</v>
      </c>
      <c r="AE411" t="s">
        <v>74</v>
      </c>
      <c r="AF411" t="s">
        <v>74</v>
      </c>
      <c r="AG411">
        <v>30</v>
      </c>
      <c r="AH411">
        <v>43</v>
      </c>
      <c r="AI411">
        <v>43</v>
      </c>
      <c r="AJ411">
        <v>1</v>
      </c>
      <c r="AK411">
        <v>9</v>
      </c>
      <c r="AL411" t="s">
        <v>6187</v>
      </c>
      <c r="AM411" t="s">
        <v>6188</v>
      </c>
      <c r="AN411" t="s">
        <v>6189</v>
      </c>
      <c r="AO411" t="s">
        <v>3302</v>
      </c>
      <c r="AP411" t="s">
        <v>74</v>
      </c>
      <c r="AQ411" t="s">
        <v>74</v>
      </c>
      <c r="AR411" t="s">
        <v>3304</v>
      </c>
      <c r="AS411" t="s">
        <v>3305</v>
      </c>
      <c r="AT411" t="s">
        <v>5484</v>
      </c>
      <c r="AU411">
        <v>2004</v>
      </c>
      <c r="AV411">
        <v>54</v>
      </c>
      <c r="AW411" t="s">
        <v>74</v>
      </c>
      <c r="AX411">
        <v>5</v>
      </c>
      <c r="AY411" t="s">
        <v>74</v>
      </c>
      <c r="AZ411" t="s">
        <v>74</v>
      </c>
      <c r="BA411" t="s">
        <v>74</v>
      </c>
      <c r="BB411">
        <v>1765</v>
      </c>
      <c r="BC411">
        <v>1771</v>
      </c>
      <c r="BD411" t="s">
        <v>74</v>
      </c>
      <c r="BE411" t="s">
        <v>6190</v>
      </c>
      <c r="BF411" t="str">
        <f>HYPERLINK("http://dx.doi.org/10.1099/ijs.0.63123-0","http://dx.doi.org/10.1099/ijs.0.63123-0")</f>
        <v>http://dx.doi.org/10.1099/ijs.0.63123-0</v>
      </c>
      <c r="BG411" t="s">
        <v>74</v>
      </c>
      <c r="BH411" t="s">
        <v>74</v>
      </c>
      <c r="BI411">
        <v>7</v>
      </c>
      <c r="BJ411" t="s">
        <v>1536</v>
      </c>
      <c r="BK411" t="s">
        <v>139</v>
      </c>
      <c r="BL411" t="s">
        <v>1536</v>
      </c>
      <c r="BM411" t="s">
        <v>6178</v>
      </c>
      <c r="BN411">
        <v>15388742</v>
      </c>
      <c r="BO411" t="s">
        <v>771</v>
      </c>
      <c r="BP411" t="s">
        <v>74</v>
      </c>
      <c r="BQ411" t="s">
        <v>74</v>
      </c>
      <c r="BR411" t="s">
        <v>98</v>
      </c>
      <c r="BS411" t="s">
        <v>6191</v>
      </c>
      <c r="BT411" t="str">
        <f>HYPERLINK("https%3A%2F%2Fwww.webofscience.com%2Fwos%2Fwoscc%2Ffull-record%2FWOS:000224259100052","View Full Record in Web of Science")</f>
        <v>View Full Record in Web of Science</v>
      </c>
    </row>
    <row r="412" spans="1:72" x14ac:dyDescent="0.15">
      <c r="A412" t="s">
        <v>122</v>
      </c>
      <c r="B412" t="s">
        <v>6192</v>
      </c>
      <c r="C412" t="s">
        <v>74</v>
      </c>
      <c r="D412" t="s">
        <v>74</v>
      </c>
      <c r="E412" t="s">
        <v>74</v>
      </c>
      <c r="F412" t="s">
        <v>6192</v>
      </c>
      <c r="G412" t="s">
        <v>74</v>
      </c>
      <c r="H412" t="s">
        <v>74</v>
      </c>
      <c r="I412" t="s">
        <v>6193</v>
      </c>
      <c r="J412" t="s">
        <v>3291</v>
      </c>
      <c r="K412" t="s">
        <v>74</v>
      </c>
      <c r="L412" t="s">
        <v>74</v>
      </c>
      <c r="M412" t="s">
        <v>79</v>
      </c>
      <c r="N412" t="s">
        <v>126</v>
      </c>
      <c r="O412" t="s">
        <v>74</v>
      </c>
      <c r="P412" t="s">
        <v>74</v>
      </c>
      <c r="Q412" t="s">
        <v>74</v>
      </c>
      <c r="R412" t="s">
        <v>74</v>
      </c>
      <c r="S412" t="s">
        <v>74</v>
      </c>
      <c r="T412" t="s">
        <v>74</v>
      </c>
      <c r="U412" t="s">
        <v>6194</v>
      </c>
      <c r="V412" t="s">
        <v>6195</v>
      </c>
      <c r="W412" t="s">
        <v>6196</v>
      </c>
      <c r="X412" t="s">
        <v>6197</v>
      </c>
      <c r="Y412" t="s">
        <v>6198</v>
      </c>
      <c r="Z412" t="s">
        <v>6199</v>
      </c>
      <c r="AA412" t="s">
        <v>6200</v>
      </c>
      <c r="AB412" t="s">
        <v>6201</v>
      </c>
      <c r="AC412" t="s">
        <v>74</v>
      </c>
      <c r="AD412" t="s">
        <v>74</v>
      </c>
      <c r="AE412" t="s">
        <v>74</v>
      </c>
      <c r="AF412" t="s">
        <v>74</v>
      </c>
      <c r="AG412">
        <v>85</v>
      </c>
      <c r="AH412">
        <v>208</v>
      </c>
      <c r="AI412">
        <v>225</v>
      </c>
      <c r="AJ412">
        <v>1</v>
      </c>
      <c r="AK412">
        <v>25</v>
      </c>
      <c r="AL412" t="s">
        <v>3300</v>
      </c>
      <c r="AM412" t="s">
        <v>375</v>
      </c>
      <c r="AN412" t="s">
        <v>3301</v>
      </c>
      <c r="AO412" t="s">
        <v>3302</v>
      </c>
      <c r="AP412" t="s">
        <v>3303</v>
      </c>
      <c r="AQ412" t="s">
        <v>74</v>
      </c>
      <c r="AR412" t="s">
        <v>3304</v>
      </c>
      <c r="AS412" t="s">
        <v>3305</v>
      </c>
      <c r="AT412" t="s">
        <v>5484</v>
      </c>
      <c r="AU412">
        <v>2004</v>
      </c>
      <c r="AV412">
        <v>54</v>
      </c>
      <c r="AW412" t="s">
        <v>74</v>
      </c>
      <c r="AX412">
        <v>5</v>
      </c>
      <c r="AY412" t="s">
        <v>74</v>
      </c>
      <c r="AZ412" t="s">
        <v>74</v>
      </c>
      <c r="BA412" t="s">
        <v>74</v>
      </c>
      <c r="BB412">
        <v>1773</v>
      </c>
      <c r="BC412">
        <v>1788</v>
      </c>
      <c r="BD412" t="s">
        <v>74</v>
      </c>
      <c r="BE412" t="s">
        <v>6202</v>
      </c>
      <c r="BF412" t="str">
        <f>HYPERLINK("http://dx.doi.org/10.1099/ijs.0.02997-0","http://dx.doi.org/10.1099/ijs.0.02997-0")</f>
        <v>http://dx.doi.org/10.1099/ijs.0.02997-0</v>
      </c>
      <c r="BG412" t="s">
        <v>74</v>
      </c>
      <c r="BH412" t="s">
        <v>74</v>
      </c>
      <c r="BI412">
        <v>16</v>
      </c>
      <c r="BJ412" t="s">
        <v>1536</v>
      </c>
      <c r="BK412" t="s">
        <v>139</v>
      </c>
      <c r="BL412" t="s">
        <v>1536</v>
      </c>
      <c r="BM412" t="s">
        <v>6178</v>
      </c>
      <c r="BN412">
        <v>15388743</v>
      </c>
      <c r="BO412" t="s">
        <v>273</v>
      </c>
      <c r="BP412" t="s">
        <v>74</v>
      </c>
      <c r="BQ412" t="s">
        <v>74</v>
      </c>
      <c r="BR412" t="s">
        <v>98</v>
      </c>
      <c r="BS412" t="s">
        <v>6203</v>
      </c>
      <c r="BT412" t="str">
        <f>HYPERLINK("https%3A%2F%2Fwww.webofscience.com%2Fwos%2Fwoscc%2Ffull-record%2FWOS:000224259100053","View Full Record in Web of Science")</f>
        <v>View Full Record in Web of Science</v>
      </c>
    </row>
    <row r="413" spans="1:72" x14ac:dyDescent="0.15">
      <c r="A413" t="s">
        <v>122</v>
      </c>
      <c r="B413" t="s">
        <v>6204</v>
      </c>
      <c r="C413" t="s">
        <v>74</v>
      </c>
      <c r="D413" t="s">
        <v>74</v>
      </c>
      <c r="E413" t="s">
        <v>74</v>
      </c>
      <c r="F413" t="s">
        <v>6204</v>
      </c>
      <c r="G413" t="s">
        <v>74</v>
      </c>
      <c r="H413" t="s">
        <v>74</v>
      </c>
      <c r="I413" t="s">
        <v>6205</v>
      </c>
      <c r="J413" t="s">
        <v>6206</v>
      </c>
      <c r="K413" t="s">
        <v>74</v>
      </c>
      <c r="L413" t="s">
        <v>74</v>
      </c>
      <c r="M413" t="s">
        <v>79</v>
      </c>
      <c r="N413" t="s">
        <v>126</v>
      </c>
      <c r="O413" t="s">
        <v>74</v>
      </c>
      <c r="P413" t="s">
        <v>74</v>
      </c>
      <c r="Q413" t="s">
        <v>74</v>
      </c>
      <c r="R413" t="s">
        <v>74</v>
      </c>
      <c r="S413" t="s">
        <v>74</v>
      </c>
      <c r="T413" t="s">
        <v>74</v>
      </c>
      <c r="U413" t="s">
        <v>6207</v>
      </c>
      <c r="V413" t="s">
        <v>6208</v>
      </c>
      <c r="W413" t="s">
        <v>6209</v>
      </c>
      <c r="X413" t="s">
        <v>2862</v>
      </c>
      <c r="Y413" t="s">
        <v>6210</v>
      </c>
      <c r="Z413" t="s">
        <v>6211</v>
      </c>
      <c r="AA413" t="s">
        <v>6212</v>
      </c>
      <c r="AB413" t="s">
        <v>6213</v>
      </c>
      <c r="AC413" t="s">
        <v>74</v>
      </c>
      <c r="AD413" t="s">
        <v>74</v>
      </c>
      <c r="AE413" t="s">
        <v>74</v>
      </c>
      <c r="AF413" t="s">
        <v>74</v>
      </c>
      <c r="AG413">
        <v>22</v>
      </c>
      <c r="AH413">
        <v>129</v>
      </c>
      <c r="AI413">
        <v>141</v>
      </c>
      <c r="AJ413">
        <v>2</v>
      </c>
      <c r="AK413">
        <v>18</v>
      </c>
      <c r="AL413" t="s">
        <v>1571</v>
      </c>
      <c r="AM413" t="s">
        <v>1572</v>
      </c>
      <c r="AN413" t="s">
        <v>1573</v>
      </c>
      <c r="AO413" t="s">
        <v>6214</v>
      </c>
      <c r="AP413" t="s">
        <v>6215</v>
      </c>
      <c r="AQ413" t="s">
        <v>74</v>
      </c>
      <c r="AR413" t="s">
        <v>6216</v>
      </c>
      <c r="AS413" t="s">
        <v>6217</v>
      </c>
      <c r="AT413" t="s">
        <v>5484</v>
      </c>
      <c r="AU413">
        <v>2004</v>
      </c>
      <c r="AV413">
        <v>21</v>
      </c>
      <c r="AW413">
        <v>9</v>
      </c>
      <c r="AX413" t="s">
        <v>74</v>
      </c>
      <c r="AY413" t="s">
        <v>74</v>
      </c>
      <c r="AZ413" t="s">
        <v>74</v>
      </c>
      <c r="BA413" t="s">
        <v>74</v>
      </c>
      <c r="BB413">
        <v>1417</v>
      </c>
      <c r="BC413">
        <v>1431</v>
      </c>
      <c r="BD413" t="s">
        <v>74</v>
      </c>
      <c r="BE413" t="s">
        <v>6218</v>
      </c>
      <c r="BF413" t="str">
        <f>HYPERLINK("http://dx.doi.org/10.1175/1520-0426(2004)021&lt;1417:AAITQO&gt;2.0.CO;2","http://dx.doi.org/10.1175/1520-0426(2004)021&lt;1417:AAITQO&gt;2.0.CO;2")</f>
        <v>http://dx.doi.org/10.1175/1520-0426(2004)021&lt;1417:AAITQO&gt;2.0.CO;2</v>
      </c>
      <c r="BG413" t="s">
        <v>74</v>
      </c>
      <c r="BH413" t="s">
        <v>74</v>
      </c>
      <c r="BI413">
        <v>15</v>
      </c>
      <c r="BJ413" t="s">
        <v>6219</v>
      </c>
      <c r="BK413" t="s">
        <v>139</v>
      </c>
      <c r="BL413" t="s">
        <v>6220</v>
      </c>
      <c r="BM413" t="s">
        <v>6221</v>
      </c>
      <c r="BN413" t="s">
        <v>74</v>
      </c>
      <c r="BO413" t="s">
        <v>74</v>
      </c>
      <c r="BP413" t="s">
        <v>74</v>
      </c>
      <c r="BQ413" t="s">
        <v>74</v>
      </c>
      <c r="BR413" t="s">
        <v>98</v>
      </c>
      <c r="BS413" t="s">
        <v>6222</v>
      </c>
      <c r="BT413" t="str">
        <f>HYPERLINK("https%3A%2F%2Fwww.webofscience.com%2Fwos%2Fwoscc%2Ffull-record%2FWOS:000223685100008","View Full Record in Web of Science")</f>
        <v>View Full Record in Web of Science</v>
      </c>
    </row>
    <row r="414" spans="1:72" x14ac:dyDescent="0.15">
      <c r="A414" t="s">
        <v>122</v>
      </c>
      <c r="B414" t="s">
        <v>6223</v>
      </c>
      <c r="C414" t="s">
        <v>74</v>
      </c>
      <c r="D414" t="s">
        <v>74</v>
      </c>
      <c r="E414" t="s">
        <v>74</v>
      </c>
      <c r="F414" t="s">
        <v>6223</v>
      </c>
      <c r="G414" t="s">
        <v>74</v>
      </c>
      <c r="H414" t="s">
        <v>74</v>
      </c>
      <c r="I414" t="s">
        <v>6224</v>
      </c>
      <c r="J414" t="s">
        <v>6225</v>
      </c>
      <c r="K414" t="s">
        <v>74</v>
      </c>
      <c r="L414" t="s">
        <v>74</v>
      </c>
      <c r="M414" t="s">
        <v>79</v>
      </c>
      <c r="N414" t="s">
        <v>126</v>
      </c>
      <c r="O414" t="s">
        <v>74</v>
      </c>
      <c r="P414" t="s">
        <v>74</v>
      </c>
      <c r="Q414" t="s">
        <v>74</v>
      </c>
      <c r="R414" t="s">
        <v>74</v>
      </c>
      <c r="S414" t="s">
        <v>74</v>
      </c>
      <c r="T414" t="s">
        <v>6226</v>
      </c>
      <c r="U414" t="s">
        <v>6227</v>
      </c>
      <c r="V414" t="s">
        <v>6228</v>
      </c>
      <c r="W414" t="s">
        <v>6114</v>
      </c>
      <c r="X414" t="s">
        <v>6115</v>
      </c>
      <c r="Y414" t="s">
        <v>6229</v>
      </c>
      <c r="Z414" t="s">
        <v>6230</v>
      </c>
      <c r="AA414" t="s">
        <v>74</v>
      </c>
      <c r="AB414" t="s">
        <v>74</v>
      </c>
      <c r="AC414" t="s">
        <v>74</v>
      </c>
      <c r="AD414" t="s">
        <v>74</v>
      </c>
      <c r="AE414" t="s">
        <v>74</v>
      </c>
      <c r="AF414" t="s">
        <v>74</v>
      </c>
      <c r="AG414">
        <v>24</v>
      </c>
      <c r="AH414">
        <v>17</v>
      </c>
      <c r="AI414">
        <v>18</v>
      </c>
      <c r="AJ414">
        <v>0</v>
      </c>
      <c r="AK414">
        <v>2</v>
      </c>
      <c r="AL414" t="s">
        <v>1273</v>
      </c>
      <c r="AM414" t="s">
        <v>197</v>
      </c>
      <c r="AN414" t="s">
        <v>1274</v>
      </c>
      <c r="AO414" t="s">
        <v>6231</v>
      </c>
      <c r="AP414" t="s">
        <v>6232</v>
      </c>
      <c r="AQ414" t="s">
        <v>74</v>
      </c>
      <c r="AR414" t="s">
        <v>6233</v>
      </c>
      <c r="AS414" t="s">
        <v>6234</v>
      </c>
      <c r="AT414" t="s">
        <v>5484</v>
      </c>
      <c r="AU414">
        <v>2004</v>
      </c>
      <c r="AV414">
        <v>66</v>
      </c>
      <c r="AW414" t="s">
        <v>6235</v>
      </c>
      <c r="AX414" t="s">
        <v>74</v>
      </c>
      <c r="AY414" t="s">
        <v>74</v>
      </c>
      <c r="AZ414" t="s">
        <v>74</v>
      </c>
      <c r="BA414" t="s">
        <v>74</v>
      </c>
      <c r="BB414">
        <v>1159</v>
      </c>
      <c r="BC414">
        <v>1172</v>
      </c>
      <c r="BD414" t="s">
        <v>74</v>
      </c>
      <c r="BE414" t="s">
        <v>6236</v>
      </c>
      <c r="BF414" t="str">
        <f>HYPERLINK("http://dx.doi.org/10.1016/j.jastp.2004.05.005","http://dx.doi.org/10.1016/j.jastp.2004.05.005")</f>
        <v>http://dx.doi.org/10.1016/j.jastp.2004.05.005</v>
      </c>
      <c r="BG414" t="s">
        <v>74</v>
      </c>
      <c r="BH414" t="s">
        <v>74</v>
      </c>
      <c r="BI414">
        <v>14</v>
      </c>
      <c r="BJ414" t="s">
        <v>6237</v>
      </c>
      <c r="BK414" t="s">
        <v>139</v>
      </c>
      <c r="BL414" t="s">
        <v>6237</v>
      </c>
      <c r="BM414" t="s">
        <v>6238</v>
      </c>
      <c r="BN414" t="s">
        <v>74</v>
      </c>
      <c r="BO414" t="s">
        <v>74</v>
      </c>
      <c r="BP414" t="s">
        <v>74</v>
      </c>
      <c r="BQ414" t="s">
        <v>74</v>
      </c>
      <c r="BR414" t="s">
        <v>98</v>
      </c>
      <c r="BS414" t="s">
        <v>6239</v>
      </c>
      <c r="BT414" t="str">
        <f>HYPERLINK("https%3A%2F%2Fwww.webofscience.com%2Fwos%2Fwoscc%2Ffull-record%2FWOS:000223560300008","View Full Record in Web of Science")</f>
        <v>View Full Record in Web of Science</v>
      </c>
    </row>
    <row r="415" spans="1:72" x14ac:dyDescent="0.15">
      <c r="A415" t="s">
        <v>122</v>
      </c>
      <c r="B415" t="s">
        <v>6240</v>
      </c>
      <c r="C415" t="s">
        <v>74</v>
      </c>
      <c r="D415" t="s">
        <v>74</v>
      </c>
      <c r="E415" t="s">
        <v>74</v>
      </c>
      <c r="F415" t="s">
        <v>6240</v>
      </c>
      <c r="G415" t="s">
        <v>74</v>
      </c>
      <c r="H415" t="s">
        <v>74</v>
      </c>
      <c r="I415" t="s">
        <v>6241</v>
      </c>
      <c r="J415" t="s">
        <v>6225</v>
      </c>
      <c r="K415" t="s">
        <v>74</v>
      </c>
      <c r="L415" t="s">
        <v>74</v>
      </c>
      <c r="M415" t="s">
        <v>79</v>
      </c>
      <c r="N415" t="s">
        <v>126</v>
      </c>
      <c r="O415" t="s">
        <v>74</v>
      </c>
      <c r="P415" t="s">
        <v>74</v>
      </c>
      <c r="Q415" t="s">
        <v>74</v>
      </c>
      <c r="R415" t="s">
        <v>74</v>
      </c>
      <c r="S415" t="s">
        <v>74</v>
      </c>
      <c r="T415" t="s">
        <v>6242</v>
      </c>
      <c r="U415" t="s">
        <v>6243</v>
      </c>
      <c r="V415" t="s">
        <v>6244</v>
      </c>
      <c r="W415" t="s">
        <v>6245</v>
      </c>
      <c r="X415" t="s">
        <v>6115</v>
      </c>
      <c r="Y415" t="s">
        <v>6246</v>
      </c>
      <c r="Z415" t="s">
        <v>6247</v>
      </c>
      <c r="AA415" t="s">
        <v>6248</v>
      </c>
      <c r="AB415" t="s">
        <v>6249</v>
      </c>
      <c r="AC415" t="s">
        <v>74</v>
      </c>
      <c r="AD415" t="s">
        <v>74</v>
      </c>
      <c r="AE415" t="s">
        <v>74</v>
      </c>
      <c r="AF415" t="s">
        <v>74</v>
      </c>
      <c r="AG415">
        <v>14</v>
      </c>
      <c r="AH415">
        <v>8</v>
      </c>
      <c r="AI415">
        <v>10</v>
      </c>
      <c r="AJ415">
        <v>0</v>
      </c>
      <c r="AK415">
        <v>0</v>
      </c>
      <c r="AL415" t="s">
        <v>1273</v>
      </c>
      <c r="AM415" t="s">
        <v>197</v>
      </c>
      <c r="AN415" t="s">
        <v>1274</v>
      </c>
      <c r="AO415" t="s">
        <v>6231</v>
      </c>
      <c r="AP415" t="s">
        <v>6232</v>
      </c>
      <c r="AQ415" t="s">
        <v>74</v>
      </c>
      <c r="AR415" t="s">
        <v>6233</v>
      </c>
      <c r="AS415" t="s">
        <v>6234</v>
      </c>
      <c r="AT415" t="s">
        <v>5484</v>
      </c>
      <c r="AU415">
        <v>2004</v>
      </c>
      <c r="AV415">
        <v>66</v>
      </c>
      <c r="AW415" t="s">
        <v>6235</v>
      </c>
      <c r="AX415" t="s">
        <v>74</v>
      </c>
      <c r="AY415" t="s">
        <v>74</v>
      </c>
      <c r="AZ415" t="s">
        <v>74</v>
      </c>
      <c r="BA415" t="s">
        <v>74</v>
      </c>
      <c r="BB415">
        <v>1173</v>
      </c>
      <c r="BC415">
        <v>1177</v>
      </c>
      <c r="BD415" t="s">
        <v>74</v>
      </c>
      <c r="BE415" t="s">
        <v>6250</v>
      </c>
      <c r="BF415" t="str">
        <f>HYPERLINK("http://dx.doi.org/10.1016/j.jastp.2004.05.008","http://dx.doi.org/10.1016/j.jastp.2004.05.008")</f>
        <v>http://dx.doi.org/10.1016/j.jastp.2004.05.008</v>
      </c>
      <c r="BG415" t="s">
        <v>74</v>
      </c>
      <c r="BH415" t="s">
        <v>74</v>
      </c>
      <c r="BI415">
        <v>5</v>
      </c>
      <c r="BJ415" t="s">
        <v>6237</v>
      </c>
      <c r="BK415" t="s">
        <v>139</v>
      </c>
      <c r="BL415" t="s">
        <v>6237</v>
      </c>
      <c r="BM415" t="s">
        <v>6238</v>
      </c>
      <c r="BN415" t="s">
        <v>74</v>
      </c>
      <c r="BO415" t="s">
        <v>74</v>
      </c>
      <c r="BP415" t="s">
        <v>74</v>
      </c>
      <c r="BQ415" t="s">
        <v>74</v>
      </c>
      <c r="BR415" t="s">
        <v>98</v>
      </c>
      <c r="BS415" t="s">
        <v>6251</v>
      </c>
      <c r="BT415" t="str">
        <f>HYPERLINK("https%3A%2F%2Fwww.webofscience.com%2Fwos%2Fwoscc%2Ffull-record%2FWOS:000223560300009","View Full Record in Web of Science")</f>
        <v>View Full Record in Web of Science</v>
      </c>
    </row>
    <row r="416" spans="1:72" x14ac:dyDescent="0.15">
      <c r="A416" t="s">
        <v>122</v>
      </c>
      <c r="B416" t="s">
        <v>6252</v>
      </c>
      <c r="C416" t="s">
        <v>74</v>
      </c>
      <c r="D416" t="s">
        <v>74</v>
      </c>
      <c r="E416" t="s">
        <v>74</v>
      </c>
      <c r="F416" t="s">
        <v>6252</v>
      </c>
      <c r="G416" t="s">
        <v>74</v>
      </c>
      <c r="H416" t="s">
        <v>74</v>
      </c>
      <c r="I416" t="s">
        <v>6253</v>
      </c>
      <c r="J416" t="s">
        <v>6225</v>
      </c>
      <c r="K416" t="s">
        <v>74</v>
      </c>
      <c r="L416" t="s">
        <v>74</v>
      </c>
      <c r="M416" t="s">
        <v>79</v>
      </c>
      <c r="N416" t="s">
        <v>126</v>
      </c>
      <c r="O416" t="s">
        <v>74</v>
      </c>
      <c r="P416" t="s">
        <v>74</v>
      </c>
      <c r="Q416" t="s">
        <v>74</v>
      </c>
      <c r="R416" t="s">
        <v>74</v>
      </c>
      <c r="S416" t="s">
        <v>74</v>
      </c>
      <c r="T416" t="s">
        <v>6254</v>
      </c>
      <c r="U416" t="s">
        <v>6255</v>
      </c>
      <c r="V416" t="s">
        <v>6256</v>
      </c>
      <c r="W416" t="s">
        <v>6257</v>
      </c>
      <c r="X416" t="s">
        <v>6258</v>
      </c>
      <c r="Y416" t="s">
        <v>6259</v>
      </c>
      <c r="Z416" t="s">
        <v>6260</v>
      </c>
      <c r="AA416" t="s">
        <v>6261</v>
      </c>
      <c r="AB416" t="s">
        <v>74</v>
      </c>
      <c r="AC416" t="s">
        <v>74</v>
      </c>
      <c r="AD416" t="s">
        <v>74</v>
      </c>
      <c r="AE416" t="s">
        <v>74</v>
      </c>
      <c r="AF416" t="s">
        <v>74</v>
      </c>
      <c r="AG416">
        <v>31</v>
      </c>
      <c r="AH416">
        <v>35</v>
      </c>
      <c r="AI416">
        <v>36</v>
      </c>
      <c r="AJ416">
        <v>0</v>
      </c>
      <c r="AK416">
        <v>2</v>
      </c>
      <c r="AL416" t="s">
        <v>1273</v>
      </c>
      <c r="AM416" t="s">
        <v>197</v>
      </c>
      <c r="AN416" t="s">
        <v>1274</v>
      </c>
      <c r="AO416" t="s">
        <v>6231</v>
      </c>
      <c r="AP416" t="s">
        <v>6232</v>
      </c>
      <c r="AQ416" t="s">
        <v>74</v>
      </c>
      <c r="AR416" t="s">
        <v>6233</v>
      </c>
      <c r="AS416" t="s">
        <v>6234</v>
      </c>
      <c r="AT416" t="s">
        <v>5484</v>
      </c>
      <c r="AU416">
        <v>2004</v>
      </c>
      <c r="AV416">
        <v>66</v>
      </c>
      <c r="AW416" t="s">
        <v>6235</v>
      </c>
      <c r="AX416" t="s">
        <v>74</v>
      </c>
      <c r="AY416" t="s">
        <v>74</v>
      </c>
      <c r="AZ416" t="s">
        <v>74</v>
      </c>
      <c r="BA416" t="s">
        <v>74</v>
      </c>
      <c r="BB416">
        <v>1205</v>
      </c>
      <c r="BC416">
        <v>1211</v>
      </c>
      <c r="BD416" t="s">
        <v>74</v>
      </c>
      <c r="BE416" t="s">
        <v>6262</v>
      </c>
      <c r="BF416" t="str">
        <f>HYPERLINK("http://dx.doi.org/10.1016/j.jastp.2004.05.002","http://dx.doi.org/10.1016/j.jastp.2004.05.002")</f>
        <v>http://dx.doi.org/10.1016/j.jastp.2004.05.002</v>
      </c>
      <c r="BG416" t="s">
        <v>74</v>
      </c>
      <c r="BH416" t="s">
        <v>74</v>
      </c>
      <c r="BI416">
        <v>7</v>
      </c>
      <c r="BJ416" t="s">
        <v>6237</v>
      </c>
      <c r="BK416" t="s">
        <v>139</v>
      </c>
      <c r="BL416" t="s">
        <v>6237</v>
      </c>
      <c r="BM416" t="s">
        <v>6238</v>
      </c>
      <c r="BN416" t="s">
        <v>74</v>
      </c>
      <c r="BO416" t="s">
        <v>988</v>
      </c>
      <c r="BP416" t="s">
        <v>74</v>
      </c>
      <c r="BQ416" t="s">
        <v>74</v>
      </c>
      <c r="BR416" t="s">
        <v>98</v>
      </c>
      <c r="BS416" t="s">
        <v>6263</v>
      </c>
      <c r="BT416" t="str">
        <f>HYPERLINK("https%3A%2F%2Fwww.webofscience.com%2Fwos%2Fwoscc%2Ffull-record%2FWOS:000223560300013","View Full Record in Web of Science")</f>
        <v>View Full Record in Web of Science</v>
      </c>
    </row>
    <row r="417" spans="1:72" x14ac:dyDescent="0.15">
      <c r="A417" t="s">
        <v>122</v>
      </c>
      <c r="B417" t="s">
        <v>6264</v>
      </c>
      <c r="C417" t="s">
        <v>74</v>
      </c>
      <c r="D417" t="s">
        <v>74</v>
      </c>
      <c r="E417" t="s">
        <v>74</v>
      </c>
      <c r="F417" t="s">
        <v>6264</v>
      </c>
      <c r="G417" t="s">
        <v>74</v>
      </c>
      <c r="H417" t="s">
        <v>74</v>
      </c>
      <c r="I417" t="s">
        <v>6265</v>
      </c>
      <c r="J417" t="s">
        <v>6266</v>
      </c>
      <c r="K417" t="s">
        <v>74</v>
      </c>
      <c r="L417" t="s">
        <v>74</v>
      </c>
      <c r="M417" t="s">
        <v>79</v>
      </c>
      <c r="N417" t="s">
        <v>126</v>
      </c>
      <c r="O417" t="s">
        <v>74</v>
      </c>
      <c r="P417" t="s">
        <v>74</v>
      </c>
      <c r="Q417" t="s">
        <v>74</v>
      </c>
      <c r="R417" t="s">
        <v>74</v>
      </c>
      <c r="S417" t="s">
        <v>74</v>
      </c>
      <c r="T417" t="s">
        <v>6267</v>
      </c>
      <c r="U417" t="s">
        <v>6268</v>
      </c>
      <c r="V417" t="s">
        <v>6269</v>
      </c>
      <c r="W417" t="s">
        <v>6270</v>
      </c>
      <c r="X417" t="s">
        <v>6271</v>
      </c>
      <c r="Y417" t="s">
        <v>6272</v>
      </c>
      <c r="Z417" t="s">
        <v>6273</v>
      </c>
      <c r="AA417" t="s">
        <v>6274</v>
      </c>
      <c r="AB417" t="s">
        <v>74</v>
      </c>
      <c r="AC417" t="s">
        <v>74</v>
      </c>
      <c r="AD417" t="s">
        <v>74</v>
      </c>
      <c r="AE417" t="s">
        <v>74</v>
      </c>
      <c r="AF417" t="s">
        <v>74</v>
      </c>
      <c r="AG417">
        <v>19</v>
      </c>
      <c r="AH417">
        <v>26</v>
      </c>
      <c r="AI417">
        <v>33</v>
      </c>
      <c r="AJ417">
        <v>3</v>
      </c>
      <c r="AK417">
        <v>19</v>
      </c>
      <c r="AL417" t="s">
        <v>6275</v>
      </c>
      <c r="AM417" t="s">
        <v>6276</v>
      </c>
      <c r="AN417" t="s">
        <v>6277</v>
      </c>
      <c r="AO417" t="s">
        <v>6278</v>
      </c>
      <c r="AP417" t="s">
        <v>74</v>
      </c>
      <c r="AQ417" t="s">
        <v>74</v>
      </c>
      <c r="AR417" t="s">
        <v>6279</v>
      </c>
      <c r="AS417" t="s">
        <v>6280</v>
      </c>
      <c r="AT417" t="s">
        <v>5484</v>
      </c>
      <c r="AU417">
        <v>2004</v>
      </c>
      <c r="AV417">
        <v>98</v>
      </c>
      <c r="AW417">
        <v>3</v>
      </c>
      <c r="AX417" t="s">
        <v>74</v>
      </c>
      <c r="AY417" t="s">
        <v>74</v>
      </c>
      <c r="AZ417" t="s">
        <v>74</v>
      </c>
      <c r="BA417" t="s">
        <v>74</v>
      </c>
      <c r="BB417">
        <v>220</v>
      </c>
      <c r="BC417">
        <v>223</v>
      </c>
      <c r="BD417" t="s">
        <v>74</v>
      </c>
      <c r="BE417" t="s">
        <v>6281</v>
      </c>
      <c r="BF417" t="str">
        <f>HYPERLINK("http://dx.doi.org/10.1016/S1389-1723(04)00271-3","http://dx.doi.org/10.1016/S1389-1723(04)00271-3")</f>
        <v>http://dx.doi.org/10.1016/S1389-1723(04)00271-3</v>
      </c>
      <c r="BG417" t="s">
        <v>74</v>
      </c>
      <c r="BH417" t="s">
        <v>74</v>
      </c>
      <c r="BI417">
        <v>4</v>
      </c>
      <c r="BJ417" t="s">
        <v>6282</v>
      </c>
      <c r="BK417" t="s">
        <v>139</v>
      </c>
      <c r="BL417" t="s">
        <v>6282</v>
      </c>
      <c r="BM417" t="s">
        <v>6283</v>
      </c>
      <c r="BN417">
        <v>16233695</v>
      </c>
      <c r="BO417" t="s">
        <v>74</v>
      </c>
      <c r="BP417" t="s">
        <v>74</v>
      </c>
      <c r="BQ417" t="s">
        <v>74</v>
      </c>
      <c r="BR417" t="s">
        <v>98</v>
      </c>
      <c r="BS417" t="s">
        <v>6284</v>
      </c>
      <c r="BT417" t="str">
        <f>HYPERLINK("https%3A%2F%2Fwww.webofscience.com%2Fwos%2Fwoscc%2Ffull-record%2FWOS:000225660300014","View Full Record in Web of Science")</f>
        <v>View Full Record in Web of Science</v>
      </c>
    </row>
    <row r="418" spans="1:72" x14ac:dyDescent="0.15">
      <c r="A418" t="s">
        <v>122</v>
      </c>
      <c r="B418" t="s">
        <v>6285</v>
      </c>
      <c r="C418" t="s">
        <v>74</v>
      </c>
      <c r="D418" t="s">
        <v>74</v>
      </c>
      <c r="E418" t="s">
        <v>74</v>
      </c>
      <c r="F418" t="s">
        <v>6285</v>
      </c>
      <c r="G418" t="s">
        <v>74</v>
      </c>
      <c r="H418" t="s">
        <v>74</v>
      </c>
      <c r="I418" t="s">
        <v>6286</v>
      </c>
      <c r="J418" t="s">
        <v>1595</v>
      </c>
      <c r="K418" t="s">
        <v>74</v>
      </c>
      <c r="L418" t="s">
        <v>74</v>
      </c>
      <c r="M418" t="s">
        <v>79</v>
      </c>
      <c r="N418" t="s">
        <v>126</v>
      </c>
      <c r="O418" t="s">
        <v>74</v>
      </c>
      <c r="P418" t="s">
        <v>74</v>
      </c>
      <c r="Q418" t="s">
        <v>74</v>
      </c>
      <c r="R418" t="s">
        <v>74</v>
      </c>
      <c r="S418" t="s">
        <v>74</v>
      </c>
      <c r="T418" t="s">
        <v>6287</v>
      </c>
      <c r="U418" t="s">
        <v>6288</v>
      </c>
      <c r="V418" t="s">
        <v>6289</v>
      </c>
      <c r="W418" t="s">
        <v>6290</v>
      </c>
      <c r="X418" t="s">
        <v>6291</v>
      </c>
      <c r="Y418" t="s">
        <v>6292</v>
      </c>
      <c r="Z418" t="s">
        <v>6293</v>
      </c>
      <c r="AA418" t="s">
        <v>74</v>
      </c>
      <c r="AB418" t="s">
        <v>74</v>
      </c>
      <c r="AC418" t="s">
        <v>74</v>
      </c>
      <c r="AD418" t="s">
        <v>74</v>
      </c>
      <c r="AE418" t="s">
        <v>74</v>
      </c>
      <c r="AF418" t="s">
        <v>74</v>
      </c>
      <c r="AG418">
        <v>37</v>
      </c>
      <c r="AH418">
        <v>63</v>
      </c>
      <c r="AI418">
        <v>75</v>
      </c>
      <c r="AJ418">
        <v>3</v>
      </c>
      <c r="AK418">
        <v>51</v>
      </c>
      <c r="AL418" t="s">
        <v>4607</v>
      </c>
      <c r="AM418" t="s">
        <v>1604</v>
      </c>
      <c r="AN418" t="s">
        <v>4608</v>
      </c>
      <c r="AO418" t="s">
        <v>1606</v>
      </c>
      <c r="AP418" t="s">
        <v>1607</v>
      </c>
      <c r="AQ418" t="s">
        <v>74</v>
      </c>
      <c r="AR418" t="s">
        <v>1608</v>
      </c>
      <c r="AS418" t="s">
        <v>1609</v>
      </c>
      <c r="AT418" t="s">
        <v>5484</v>
      </c>
      <c r="AU418">
        <v>2004</v>
      </c>
      <c r="AV418">
        <v>207</v>
      </c>
      <c r="AW418">
        <v>20</v>
      </c>
      <c r="AX418" t="s">
        <v>74</v>
      </c>
      <c r="AY418" t="s">
        <v>74</v>
      </c>
      <c r="AZ418" t="s">
        <v>74</v>
      </c>
      <c r="BA418" t="s">
        <v>74</v>
      </c>
      <c r="BB418">
        <v>3537</v>
      </c>
      <c r="BC418">
        <v>3544</v>
      </c>
      <c r="BD418" t="s">
        <v>74</v>
      </c>
      <c r="BE418" t="s">
        <v>6294</v>
      </c>
      <c r="BF418" t="str">
        <f>HYPERLINK("http://dx.doi.org/10.1242/jeb.01198","http://dx.doi.org/10.1242/jeb.01198")</f>
        <v>http://dx.doi.org/10.1242/jeb.01198</v>
      </c>
      <c r="BG418" t="s">
        <v>74</v>
      </c>
      <c r="BH418" t="s">
        <v>74</v>
      </c>
      <c r="BI418">
        <v>8</v>
      </c>
      <c r="BJ418" t="s">
        <v>1611</v>
      </c>
      <c r="BK418" t="s">
        <v>139</v>
      </c>
      <c r="BL418" t="s">
        <v>1612</v>
      </c>
      <c r="BM418" t="s">
        <v>6295</v>
      </c>
      <c r="BN418">
        <v>15339950</v>
      </c>
      <c r="BO418" t="s">
        <v>2621</v>
      </c>
      <c r="BP418" t="s">
        <v>74</v>
      </c>
      <c r="BQ418" t="s">
        <v>74</v>
      </c>
      <c r="BR418" t="s">
        <v>98</v>
      </c>
      <c r="BS418" t="s">
        <v>6296</v>
      </c>
      <c r="BT418" t="str">
        <f>HYPERLINK("https%3A%2F%2Fwww.webofscience.com%2Fwos%2Fwoscc%2Ffull-record%2FWOS:000224694300015","View Full Record in Web of Science")</f>
        <v>View Full Record in Web of Science</v>
      </c>
    </row>
    <row r="419" spans="1:72" x14ac:dyDescent="0.15">
      <c r="A419" t="s">
        <v>122</v>
      </c>
      <c r="B419" t="s">
        <v>6297</v>
      </c>
      <c r="C419" t="s">
        <v>74</v>
      </c>
      <c r="D419" t="s">
        <v>74</v>
      </c>
      <c r="E419" t="s">
        <v>74</v>
      </c>
      <c r="F419" t="s">
        <v>6297</v>
      </c>
      <c r="G419" t="s">
        <v>74</v>
      </c>
      <c r="H419" t="s">
        <v>74</v>
      </c>
      <c r="I419" t="s">
        <v>6298</v>
      </c>
      <c r="J419" t="s">
        <v>6299</v>
      </c>
      <c r="K419" t="s">
        <v>74</v>
      </c>
      <c r="L419" t="s">
        <v>74</v>
      </c>
      <c r="M419" t="s">
        <v>79</v>
      </c>
      <c r="N419" t="s">
        <v>126</v>
      </c>
      <c r="O419" t="s">
        <v>74</v>
      </c>
      <c r="P419" t="s">
        <v>74</v>
      </c>
      <c r="Q419" t="s">
        <v>74</v>
      </c>
      <c r="R419" t="s">
        <v>74</v>
      </c>
      <c r="S419" t="s">
        <v>74</v>
      </c>
      <c r="T419" t="s">
        <v>74</v>
      </c>
      <c r="U419" t="s">
        <v>6300</v>
      </c>
      <c r="V419" t="s">
        <v>6301</v>
      </c>
      <c r="W419" t="s">
        <v>6302</v>
      </c>
      <c r="X419" t="s">
        <v>74</v>
      </c>
      <c r="Y419" t="s">
        <v>6303</v>
      </c>
      <c r="Z419" t="s">
        <v>6304</v>
      </c>
      <c r="AA419" t="s">
        <v>6305</v>
      </c>
      <c r="AB419" t="s">
        <v>6306</v>
      </c>
      <c r="AC419" t="s">
        <v>74</v>
      </c>
      <c r="AD419" t="s">
        <v>74</v>
      </c>
      <c r="AE419" t="s">
        <v>74</v>
      </c>
      <c r="AF419" t="s">
        <v>74</v>
      </c>
      <c r="AG419">
        <v>22</v>
      </c>
      <c r="AH419">
        <v>21</v>
      </c>
      <c r="AI419">
        <v>25</v>
      </c>
      <c r="AJ419">
        <v>0</v>
      </c>
      <c r="AK419">
        <v>7</v>
      </c>
      <c r="AL419" t="s">
        <v>1418</v>
      </c>
      <c r="AM419" t="s">
        <v>1419</v>
      </c>
      <c r="AN419" t="s">
        <v>1420</v>
      </c>
      <c r="AO419" t="s">
        <v>6307</v>
      </c>
      <c r="AP419" t="s">
        <v>6308</v>
      </c>
      <c r="AQ419" t="s">
        <v>74</v>
      </c>
      <c r="AR419" t="s">
        <v>6309</v>
      </c>
      <c r="AS419" t="s">
        <v>6310</v>
      </c>
      <c r="AT419" t="s">
        <v>5484</v>
      </c>
      <c r="AU419">
        <v>2004</v>
      </c>
      <c r="AV419">
        <v>65</v>
      </c>
      <c r="AW419">
        <v>3</v>
      </c>
      <c r="AX419" t="s">
        <v>74</v>
      </c>
      <c r="AY419" t="s">
        <v>74</v>
      </c>
      <c r="AZ419" t="s">
        <v>74</v>
      </c>
      <c r="BA419" t="s">
        <v>74</v>
      </c>
      <c r="BB419">
        <v>666</v>
      </c>
      <c r="BC419">
        <v>682</v>
      </c>
      <c r="BD419" t="s">
        <v>74</v>
      </c>
      <c r="BE419" t="s">
        <v>6311</v>
      </c>
      <c r="BF419" t="str">
        <f>HYPERLINK("http://dx.doi.org/10.1111/j.0022-1112.2004.00476.x","http://dx.doi.org/10.1111/j.0022-1112.2004.00476.x")</f>
        <v>http://dx.doi.org/10.1111/j.0022-1112.2004.00476.x</v>
      </c>
      <c r="BG419" t="s">
        <v>74</v>
      </c>
      <c r="BH419" t="s">
        <v>74</v>
      </c>
      <c r="BI419">
        <v>17</v>
      </c>
      <c r="BJ419" t="s">
        <v>6312</v>
      </c>
      <c r="BK419" t="s">
        <v>139</v>
      </c>
      <c r="BL419" t="s">
        <v>6312</v>
      </c>
      <c r="BM419" t="s">
        <v>6313</v>
      </c>
      <c r="BN419" t="s">
        <v>74</v>
      </c>
      <c r="BO419" t="s">
        <v>74</v>
      </c>
      <c r="BP419" t="s">
        <v>74</v>
      </c>
      <c r="BQ419" t="s">
        <v>74</v>
      </c>
      <c r="BR419" t="s">
        <v>98</v>
      </c>
      <c r="BS419" t="s">
        <v>6314</v>
      </c>
      <c r="BT419" t="str">
        <f>HYPERLINK("https%3A%2F%2Fwww.webofscience.com%2Fwos%2Fwoscc%2Ffull-record%2FWOS:000224008000005","View Full Record in Web of Science")</f>
        <v>View Full Record in Web of Science</v>
      </c>
    </row>
    <row r="420" spans="1:72" x14ac:dyDescent="0.15">
      <c r="A420" t="s">
        <v>122</v>
      </c>
      <c r="B420" t="s">
        <v>6315</v>
      </c>
      <c r="C420" t="s">
        <v>74</v>
      </c>
      <c r="D420" t="s">
        <v>74</v>
      </c>
      <c r="E420" t="s">
        <v>74</v>
      </c>
      <c r="F420" t="s">
        <v>6315</v>
      </c>
      <c r="G420" t="s">
        <v>74</v>
      </c>
      <c r="H420" t="s">
        <v>74</v>
      </c>
      <c r="I420" t="s">
        <v>6316</v>
      </c>
      <c r="J420" t="s">
        <v>1636</v>
      </c>
      <c r="K420" t="s">
        <v>74</v>
      </c>
      <c r="L420" t="s">
        <v>74</v>
      </c>
      <c r="M420" t="s">
        <v>79</v>
      </c>
      <c r="N420" t="s">
        <v>126</v>
      </c>
      <c r="O420" t="s">
        <v>74</v>
      </c>
      <c r="P420" t="s">
        <v>74</v>
      </c>
      <c r="Q420" t="s">
        <v>74</v>
      </c>
      <c r="R420" t="s">
        <v>74</v>
      </c>
      <c r="S420" t="s">
        <v>74</v>
      </c>
      <c r="T420" t="s">
        <v>6317</v>
      </c>
      <c r="U420" t="s">
        <v>6318</v>
      </c>
      <c r="V420" t="s">
        <v>6319</v>
      </c>
      <c r="W420" t="s">
        <v>6320</v>
      </c>
      <c r="X420" t="s">
        <v>6321</v>
      </c>
      <c r="Y420" t="s">
        <v>6322</v>
      </c>
      <c r="Z420" t="s">
        <v>6323</v>
      </c>
      <c r="AA420" t="s">
        <v>3693</v>
      </c>
      <c r="AB420" t="s">
        <v>3694</v>
      </c>
      <c r="AC420" t="s">
        <v>74</v>
      </c>
      <c r="AD420" t="s">
        <v>74</v>
      </c>
      <c r="AE420" t="s">
        <v>74</v>
      </c>
      <c r="AF420" t="s">
        <v>74</v>
      </c>
      <c r="AG420">
        <v>81</v>
      </c>
      <c r="AH420">
        <v>30</v>
      </c>
      <c r="AI420">
        <v>31</v>
      </c>
      <c r="AJ420">
        <v>1</v>
      </c>
      <c r="AK420">
        <v>4</v>
      </c>
      <c r="AL420" t="s">
        <v>1644</v>
      </c>
      <c r="AM420" t="s">
        <v>1645</v>
      </c>
      <c r="AN420" t="s">
        <v>1646</v>
      </c>
      <c r="AO420" t="s">
        <v>1647</v>
      </c>
      <c r="AP420" t="s">
        <v>1648</v>
      </c>
      <c r="AQ420" t="s">
        <v>74</v>
      </c>
      <c r="AR420" t="s">
        <v>1649</v>
      </c>
      <c r="AS420" t="s">
        <v>1650</v>
      </c>
      <c r="AT420" t="s">
        <v>5484</v>
      </c>
      <c r="AU420">
        <v>2004</v>
      </c>
      <c r="AV420">
        <v>38</v>
      </c>
      <c r="AW420">
        <v>18</v>
      </c>
      <c r="AX420" t="s">
        <v>74</v>
      </c>
      <c r="AY420" t="s">
        <v>74</v>
      </c>
      <c r="AZ420" t="s">
        <v>74</v>
      </c>
      <c r="BA420" t="s">
        <v>74</v>
      </c>
      <c r="BB420">
        <v>2269</v>
      </c>
      <c r="BC420">
        <v>2303</v>
      </c>
      <c r="BD420" t="s">
        <v>74</v>
      </c>
      <c r="BE420" t="s">
        <v>6324</v>
      </c>
      <c r="BF420" t="str">
        <f>HYPERLINK("http://dx.doi.org/10.1080/00222930310001647361","http://dx.doi.org/10.1080/00222930310001647361")</f>
        <v>http://dx.doi.org/10.1080/00222930310001647361</v>
      </c>
      <c r="BG420" t="s">
        <v>74</v>
      </c>
      <c r="BH420" t="s">
        <v>74</v>
      </c>
      <c r="BI420">
        <v>35</v>
      </c>
      <c r="BJ420" t="s">
        <v>1652</v>
      </c>
      <c r="BK420" t="s">
        <v>139</v>
      </c>
      <c r="BL420" t="s">
        <v>1653</v>
      </c>
      <c r="BM420" t="s">
        <v>6325</v>
      </c>
      <c r="BN420" t="s">
        <v>74</v>
      </c>
      <c r="BO420" t="s">
        <v>988</v>
      </c>
      <c r="BP420" t="s">
        <v>74</v>
      </c>
      <c r="BQ420" t="s">
        <v>74</v>
      </c>
      <c r="BR420" t="s">
        <v>98</v>
      </c>
      <c r="BS420" t="s">
        <v>6326</v>
      </c>
      <c r="BT420" t="str">
        <f>HYPERLINK("https%3A%2F%2Fwww.webofscience.com%2Fwos%2Fwoscc%2Ffull-record%2FWOS:000221581800001","View Full Record in Web of Science")</f>
        <v>View Full Record in Web of Science</v>
      </c>
    </row>
    <row r="421" spans="1:72" x14ac:dyDescent="0.15">
      <c r="A421" t="s">
        <v>122</v>
      </c>
      <c r="B421" t="s">
        <v>6327</v>
      </c>
      <c r="C421" t="s">
        <v>74</v>
      </c>
      <c r="D421" t="s">
        <v>74</v>
      </c>
      <c r="E421" t="s">
        <v>74</v>
      </c>
      <c r="F421" t="s">
        <v>6327</v>
      </c>
      <c r="G421" t="s">
        <v>74</v>
      </c>
      <c r="H421" t="s">
        <v>74</v>
      </c>
      <c r="I421" t="s">
        <v>6328</v>
      </c>
      <c r="J421" t="s">
        <v>1677</v>
      </c>
      <c r="K421" t="s">
        <v>74</v>
      </c>
      <c r="L421" t="s">
        <v>74</v>
      </c>
      <c r="M421" t="s">
        <v>79</v>
      </c>
      <c r="N421" t="s">
        <v>126</v>
      </c>
      <c r="O421" t="s">
        <v>74</v>
      </c>
      <c r="P421" t="s">
        <v>74</v>
      </c>
      <c r="Q421" t="s">
        <v>74</v>
      </c>
      <c r="R421" t="s">
        <v>74</v>
      </c>
      <c r="S421" t="s">
        <v>74</v>
      </c>
      <c r="T421" t="s">
        <v>74</v>
      </c>
      <c r="U421" t="s">
        <v>6329</v>
      </c>
      <c r="V421" t="s">
        <v>6330</v>
      </c>
      <c r="W421" t="s">
        <v>6331</v>
      </c>
      <c r="X421" t="s">
        <v>6332</v>
      </c>
      <c r="Y421" t="s">
        <v>6333</v>
      </c>
      <c r="Z421" t="s">
        <v>6334</v>
      </c>
      <c r="AA421" t="s">
        <v>74</v>
      </c>
      <c r="AB421" t="s">
        <v>6335</v>
      </c>
      <c r="AC421" t="s">
        <v>74</v>
      </c>
      <c r="AD421" t="s">
        <v>74</v>
      </c>
      <c r="AE421" t="s">
        <v>74</v>
      </c>
      <c r="AF421" t="s">
        <v>74</v>
      </c>
      <c r="AG421">
        <v>36</v>
      </c>
      <c r="AH421">
        <v>92</v>
      </c>
      <c r="AI421">
        <v>108</v>
      </c>
      <c r="AJ421">
        <v>2</v>
      </c>
      <c r="AK421">
        <v>33</v>
      </c>
      <c r="AL421" t="s">
        <v>1571</v>
      </c>
      <c r="AM421" t="s">
        <v>1572</v>
      </c>
      <c r="AN421" t="s">
        <v>1573</v>
      </c>
      <c r="AO421" t="s">
        <v>1686</v>
      </c>
      <c r="AP421" t="s">
        <v>1687</v>
      </c>
      <c r="AQ421" t="s">
        <v>74</v>
      </c>
      <c r="AR421" t="s">
        <v>1688</v>
      </c>
      <c r="AS421" t="s">
        <v>1689</v>
      </c>
      <c r="AT421" t="s">
        <v>5484</v>
      </c>
      <c r="AU421">
        <v>2004</v>
      </c>
      <c r="AV421">
        <v>34</v>
      </c>
      <c r="AW421">
        <v>9</v>
      </c>
      <c r="AX421" t="s">
        <v>74</v>
      </c>
      <c r="AY421" t="s">
        <v>74</v>
      </c>
      <c r="AZ421" t="s">
        <v>74</v>
      </c>
      <c r="BA421" t="s">
        <v>74</v>
      </c>
      <c r="BB421">
        <v>2104</v>
      </c>
      <c r="BC421">
        <v>2118</v>
      </c>
      <c r="BD421" t="s">
        <v>74</v>
      </c>
      <c r="BE421" t="s">
        <v>6336</v>
      </c>
      <c r="BF421" t="str">
        <f>HYPERLINK("http://dx.doi.org/10.1175/1520-0485(2004)034&lt;2104:NIOAIW&gt;2.0.CO;2","http://dx.doi.org/10.1175/1520-0485(2004)034&lt;2104:NIOAIW&gt;2.0.CO;2")</f>
        <v>http://dx.doi.org/10.1175/1520-0485(2004)034&lt;2104:NIOAIW&gt;2.0.CO;2</v>
      </c>
      <c r="BG421" t="s">
        <v>74</v>
      </c>
      <c r="BH421" t="s">
        <v>74</v>
      </c>
      <c r="BI421">
        <v>15</v>
      </c>
      <c r="BJ421" t="s">
        <v>660</v>
      </c>
      <c r="BK421" t="s">
        <v>139</v>
      </c>
      <c r="BL421" t="s">
        <v>660</v>
      </c>
      <c r="BM421" t="s">
        <v>6337</v>
      </c>
      <c r="BN421" t="s">
        <v>74</v>
      </c>
      <c r="BO421" t="s">
        <v>2236</v>
      </c>
      <c r="BP421" t="s">
        <v>74</v>
      </c>
      <c r="BQ421" t="s">
        <v>74</v>
      </c>
      <c r="BR421" t="s">
        <v>98</v>
      </c>
      <c r="BS421" t="s">
        <v>6338</v>
      </c>
      <c r="BT421" t="str">
        <f>HYPERLINK("https%3A%2F%2Fwww.webofscience.com%2Fwos%2Fwoscc%2Ffull-record%2FWOS:000224075300012","View Full Record in Web of Science")</f>
        <v>View Full Record in Web of Science</v>
      </c>
    </row>
    <row r="422" spans="1:72" x14ac:dyDescent="0.15">
      <c r="A422" t="s">
        <v>122</v>
      </c>
      <c r="B422" t="s">
        <v>6339</v>
      </c>
      <c r="C422" t="s">
        <v>74</v>
      </c>
      <c r="D422" t="s">
        <v>74</v>
      </c>
      <c r="E422" t="s">
        <v>74</v>
      </c>
      <c r="F422" t="s">
        <v>6339</v>
      </c>
      <c r="G422" t="s">
        <v>74</v>
      </c>
      <c r="H422" t="s">
        <v>74</v>
      </c>
      <c r="I422" t="s">
        <v>6340</v>
      </c>
      <c r="J422" t="s">
        <v>1695</v>
      </c>
      <c r="K422" t="s">
        <v>74</v>
      </c>
      <c r="L422" t="s">
        <v>74</v>
      </c>
      <c r="M422" t="s">
        <v>79</v>
      </c>
      <c r="N422" t="s">
        <v>126</v>
      </c>
      <c r="O422" t="s">
        <v>74</v>
      </c>
      <c r="P422" t="s">
        <v>74</v>
      </c>
      <c r="Q422" t="s">
        <v>74</v>
      </c>
      <c r="R422" t="s">
        <v>74</v>
      </c>
      <c r="S422" t="s">
        <v>74</v>
      </c>
      <c r="T422" t="s">
        <v>74</v>
      </c>
      <c r="U422" t="s">
        <v>6341</v>
      </c>
      <c r="V422" t="s">
        <v>6342</v>
      </c>
      <c r="W422" t="s">
        <v>6343</v>
      </c>
      <c r="X422" t="s">
        <v>6344</v>
      </c>
      <c r="Y422" t="s">
        <v>6345</v>
      </c>
      <c r="Z422" t="s">
        <v>6346</v>
      </c>
      <c r="AA422" t="s">
        <v>74</v>
      </c>
      <c r="AB422" t="s">
        <v>74</v>
      </c>
      <c r="AC422" t="s">
        <v>74</v>
      </c>
      <c r="AD422" t="s">
        <v>74</v>
      </c>
      <c r="AE422" t="s">
        <v>74</v>
      </c>
      <c r="AF422" t="s">
        <v>74</v>
      </c>
      <c r="AG422">
        <v>52</v>
      </c>
      <c r="AH422">
        <v>29</v>
      </c>
      <c r="AI422">
        <v>34</v>
      </c>
      <c r="AJ422">
        <v>0</v>
      </c>
      <c r="AK422">
        <v>3</v>
      </c>
      <c r="AL422" t="s">
        <v>196</v>
      </c>
      <c r="AM422" t="s">
        <v>197</v>
      </c>
      <c r="AN422" t="s">
        <v>198</v>
      </c>
      <c r="AO422" t="s">
        <v>1704</v>
      </c>
      <c r="AP422" t="s">
        <v>1705</v>
      </c>
      <c r="AQ422" t="s">
        <v>74</v>
      </c>
      <c r="AR422" t="s">
        <v>1706</v>
      </c>
      <c r="AS422" t="s">
        <v>1707</v>
      </c>
      <c r="AT422" t="s">
        <v>5484</v>
      </c>
      <c r="AU422">
        <v>2004</v>
      </c>
      <c r="AV422">
        <v>26</v>
      </c>
      <c r="AW422">
        <v>9</v>
      </c>
      <c r="AX422" t="s">
        <v>74</v>
      </c>
      <c r="AY422" t="s">
        <v>74</v>
      </c>
      <c r="AZ422" t="s">
        <v>74</v>
      </c>
      <c r="BA422" t="s">
        <v>74</v>
      </c>
      <c r="BB422">
        <v>1025</v>
      </c>
      <c r="BC422">
        <v>1037</v>
      </c>
      <c r="BD422" t="s">
        <v>74</v>
      </c>
      <c r="BE422" t="s">
        <v>6347</v>
      </c>
      <c r="BF422" t="str">
        <f>HYPERLINK("http://dx.doi.org/10.1093/plankt/fbh093","http://dx.doi.org/10.1093/plankt/fbh093")</f>
        <v>http://dx.doi.org/10.1093/plankt/fbh093</v>
      </c>
      <c r="BG422" t="s">
        <v>74</v>
      </c>
      <c r="BH422" t="s">
        <v>74</v>
      </c>
      <c r="BI422">
        <v>13</v>
      </c>
      <c r="BJ422" t="s">
        <v>1709</v>
      </c>
      <c r="BK422" t="s">
        <v>139</v>
      </c>
      <c r="BL422" t="s">
        <v>1709</v>
      </c>
      <c r="BM422" t="s">
        <v>6348</v>
      </c>
      <c r="BN422" t="s">
        <v>74</v>
      </c>
      <c r="BO422" t="s">
        <v>74</v>
      </c>
      <c r="BP422" t="s">
        <v>74</v>
      </c>
      <c r="BQ422" t="s">
        <v>74</v>
      </c>
      <c r="BR422" t="s">
        <v>98</v>
      </c>
      <c r="BS422" t="s">
        <v>6349</v>
      </c>
      <c r="BT422" t="str">
        <f>HYPERLINK("https%3A%2F%2Fwww.webofscience.com%2Fwos%2Fwoscc%2Ffull-record%2FWOS:000223948300005","View Full Record in Web of Science")</f>
        <v>View Full Record in Web of Science</v>
      </c>
    </row>
    <row r="423" spans="1:72" x14ac:dyDescent="0.15">
      <c r="A423" t="s">
        <v>122</v>
      </c>
      <c r="B423" t="s">
        <v>6350</v>
      </c>
      <c r="C423" t="s">
        <v>74</v>
      </c>
      <c r="D423" t="s">
        <v>74</v>
      </c>
      <c r="E423" t="s">
        <v>74</v>
      </c>
      <c r="F423" t="s">
        <v>6350</v>
      </c>
      <c r="G423" t="s">
        <v>74</v>
      </c>
      <c r="H423" t="s">
        <v>74</v>
      </c>
      <c r="I423" t="s">
        <v>6351</v>
      </c>
      <c r="J423" t="s">
        <v>6352</v>
      </c>
      <c r="K423" t="s">
        <v>74</v>
      </c>
      <c r="L423" t="s">
        <v>74</v>
      </c>
      <c r="M423" t="s">
        <v>79</v>
      </c>
      <c r="N423" t="s">
        <v>126</v>
      </c>
      <c r="O423" t="s">
        <v>74</v>
      </c>
      <c r="P423" t="s">
        <v>74</v>
      </c>
      <c r="Q423" t="s">
        <v>74</v>
      </c>
      <c r="R423" t="s">
        <v>74</v>
      </c>
      <c r="S423" t="s">
        <v>74</v>
      </c>
      <c r="T423" t="s">
        <v>6353</v>
      </c>
      <c r="U423" t="s">
        <v>6354</v>
      </c>
      <c r="V423" t="s">
        <v>6355</v>
      </c>
      <c r="W423" t="s">
        <v>6356</v>
      </c>
      <c r="X423" t="s">
        <v>6357</v>
      </c>
      <c r="Y423" t="s">
        <v>6358</v>
      </c>
      <c r="Z423" t="s">
        <v>6359</v>
      </c>
      <c r="AA423" t="s">
        <v>6360</v>
      </c>
      <c r="AB423" t="s">
        <v>6361</v>
      </c>
      <c r="AC423" t="s">
        <v>74</v>
      </c>
      <c r="AD423" t="s">
        <v>74</v>
      </c>
      <c r="AE423" t="s">
        <v>74</v>
      </c>
      <c r="AF423" t="s">
        <v>74</v>
      </c>
      <c r="AG423">
        <v>54</v>
      </c>
      <c r="AH423">
        <v>4</v>
      </c>
      <c r="AI423">
        <v>4</v>
      </c>
      <c r="AJ423">
        <v>0</v>
      </c>
      <c r="AK423">
        <v>7</v>
      </c>
      <c r="AL423" t="s">
        <v>1418</v>
      </c>
      <c r="AM423" t="s">
        <v>1419</v>
      </c>
      <c r="AN423" t="s">
        <v>1420</v>
      </c>
      <c r="AO423" t="s">
        <v>6362</v>
      </c>
      <c r="AP423" t="s">
        <v>6363</v>
      </c>
      <c r="AQ423" t="s">
        <v>74</v>
      </c>
      <c r="AR423" t="s">
        <v>6364</v>
      </c>
      <c r="AS423" t="s">
        <v>6365</v>
      </c>
      <c r="AT423" t="s">
        <v>5484</v>
      </c>
      <c r="AU423">
        <v>2004</v>
      </c>
      <c r="AV423">
        <v>19</v>
      </c>
      <c r="AW423">
        <v>6</v>
      </c>
      <c r="AX423" t="s">
        <v>74</v>
      </c>
      <c r="AY423" t="s">
        <v>74</v>
      </c>
      <c r="AZ423" t="s">
        <v>74</v>
      </c>
      <c r="BA423" t="s">
        <v>74</v>
      </c>
      <c r="BB423">
        <v>577</v>
      </c>
      <c r="BC423">
        <v>590</v>
      </c>
      <c r="BD423" t="s">
        <v>74</v>
      </c>
      <c r="BE423" t="s">
        <v>6366</v>
      </c>
      <c r="BF423" t="str">
        <f>HYPERLINK("http://dx.doi.org/10.1002/jqs.864","http://dx.doi.org/10.1002/jqs.864")</f>
        <v>http://dx.doi.org/10.1002/jqs.864</v>
      </c>
      <c r="BG423" t="s">
        <v>74</v>
      </c>
      <c r="BH423" t="s">
        <v>74</v>
      </c>
      <c r="BI423">
        <v>14</v>
      </c>
      <c r="BJ423" t="s">
        <v>3767</v>
      </c>
      <c r="BK423" t="s">
        <v>139</v>
      </c>
      <c r="BL423" t="s">
        <v>3768</v>
      </c>
      <c r="BM423" t="s">
        <v>6367</v>
      </c>
      <c r="BN423" t="s">
        <v>74</v>
      </c>
      <c r="BO423" t="s">
        <v>74</v>
      </c>
      <c r="BP423" t="s">
        <v>74</v>
      </c>
      <c r="BQ423" t="s">
        <v>74</v>
      </c>
      <c r="BR423" t="s">
        <v>98</v>
      </c>
      <c r="BS423" t="s">
        <v>6368</v>
      </c>
      <c r="BT423" t="str">
        <f>HYPERLINK("https%3A%2F%2Fwww.webofscience.com%2Fwos%2Fwoscc%2Ffull-record%2FWOS:000223735600006","View Full Record in Web of Science")</f>
        <v>View Full Record in Web of Science</v>
      </c>
    </row>
    <row r="424" spans="1:72" x14ac:dyDescent="0.15">
      <c r="A424" t="s">
        <v>122</v>
      </c>
      <c r="B424" t="s">
        <v>6369</v>
      </c>
      <c r="C424" t="s">
        <v>74</v>
      </c>
      <c r="D424" t="s">
        <v>74</v>
      </c>
      <c r="E424" t="s">
        <v>74</v>
      </c>
      <c r="F424" t="s">
        <v>6369</v>
      </c>
      <c r="G424" t="s">
        <v>74</v>
      </c>
      <c r="H424" t="s">
        <v>74</v>
      </c>
      <c r="I424" t="s">
        <v>6370</v>
      </c>
      <c r="J424" t="s">
        <v>6371</v>
      </c>
      <c r="K424" t="s">
        <v>74</v>
      </c>
      <c r="L424" t="s">
        <v>74</v>
      </c>
      <c r="M424" t="s">
        <v>79</v>
      </c>
      <c r="N424" t="s">
        <v>126</v>
      </c>
      <c r="O424" t="s">
        <v>74</v>
      </c>
      <c r="P424" t="s">
        <v>74</v>
      </c>
      <c r="Q424" t="s">
        <v>74</v>
      </c>
      <c r="R424" t="s">
        <v>74</v>
      </c>
      <c r="S424" t="s">
        <v>74</v>
      </c>
      <c r="T424" t="s">
        <v>74</v>
      </c>
      <c r="U424" t="s">
        <v>6372</v>
      </c>
      <c r="V424" t="s">
        <v>6373</v>
      </c>
      <c r="W424" t="s">
        <v>6374</v>
      </c>
      <c r="X424" t="s">
        <v>1586</v>
      </c>
      <c r="Y424" t="s">
        <v>6375</v>
      </c>
      <c r="Z424" t="s">
        <v>6376</v>
      </c>
      <c r="AA424" t="s">
        <v>6377</v>
      </c>
      <c r="AB424" t="s">
        <v>6378</v>
      </c>
      <c r="AC424" t="s">
        <v>74</v>
      </c>
      <c r="AD424" t="s">
        <v>74</v>
      </c>
      <c r="AE424" t="s">
        <v>74</v>
      </c>
      <c r="AF424" t="s">
        <v>74</v>
      </c>
      <c r="AG424">
        <v>73</v>
      </c>
      <c r="AH424">
        <v>19</v>
      </c>
      <c r="AI424">
        <v>19</v>
      </c>
      <c r="AJ424">
        <v>0</v>
      </c>
      <c r="AK424">
        <v>3</v>
      </c>
      <c r="AL424" t="s">
        <v>6379</v>
      </c>
      <c r="AM424" t="s">
        <v>6380</v>
      </c>
      <c r="AN424" t="s">
        <v>6381</v>
      </c>
      <c r="AO424" t="s">
        <v>6382</v>
      </c>
      <c r="AP424" t="s">
        <v>6383</v>
      </c>
      <c r="AQ424" t="s">
        <v>74</v>
      </c>
      <c r="AR424" t="s">
        <v>6384</v>
      </c>
      <c r="AS424" t="s">
        <v>6385</v>
      </c>
      <c r="AT424" t="s">
        <v>5484</v>
      </c>
      <c r="AU424">
        <v>2004</v>
      </c>
      <c r="AV424">
        <v>74</v>
      </c>
      <c r="AW424">
        <v>5</v>
      </c>
      <c r="AX424" t="s">
        <v>74</v>
      </c>
      <c r="AY424" t="s">
        <v>74</v>
      </c>
      <c r="AZ424" t="s">
        <v>74</v>
      </c>
      <c r="BA424" t="s">
        <v>74</v>
      </c>
      <c r="BB424">
        <v>607</v>
      </c>
      <c r="BC424">
        <v>619</v>
      </c>
      <c r="BD424" t="s">
        <v>74</v>
      </c>
      <c r="BE424" t="s">
        <v>6386</v>
      </c>
      <c r="BF424" t="str">
        <f>HYPERLINK("http://dx.doi.org/10.1306/022704740607","http://dx.doi.org/10.1306/022704740607")</f>
        <v>http://dx.doi.org/10.1306/022704740607</v>
      </c>
      <c r="BG424" t="s">
        <v>74</v>
      </c>
      <c r="BH424" t="s">
        <v>74</v>
      </c>
      <c r="BI424">
        <v>13</v>
      </c>
      <c r="BJ424" t="s">
        <v>249</v>
      </c>
      <c r="BK424" t="s">
        <v>139</v>
      </c>
      <c r="BL424" t="s">
        <v>249</v>
      </c>
      <c r="BM424" t="s">
        <v>6387</v>
      </c>
      <c r="BN424" t="s">
        <v>74</v>
      </c>
      <c r="BO424" t="s">
        <v>74</v>
      </c>
      <c r="BP424" t="s">
        <v>74</v>
      </c>
      <c r="BQ424" t="s">
        <v>74</v>
      </c>
      <c r="BR424" t="s">
        <v>98</v>
      </c>
      <c r="BS424" t="s">
        <v>6388</v>
      </c>
      <c r="BT424" t="str">
        <f>HYPERLINK("https%3A%2F%2Fwww.webofscience.com%2Fwos%2Fwoscc%2Ffull-record%2FWOS:000223734200002","View Full Record in Web of Science")</f>
        <v>View Full Record in Web of Science</v>
      </c>
    </row>
    <row r="425" spans="1:72" x14ac:dyDescent="0.15">
      <c r="A425" t="s">
        <v>122</v>
      </c>
      <c r="B425" t="s">
        <v>6389</v>
      </c>
      <c r="C425" t="s">
        <v>74</v>
      </c>
      <c r="D425" t="s">
        <v>74</v>
      </c>
      <c r="E425" t="s">
        <v>74</v>
      </c>
      <c r="F425" t="s">
        <v>6389</v>
      </c>
      <c r="G425" t="s">
        <v>74</v>
      </c>
      <c r="H425" t="s">
        <v>74</v>
      </c>
      <c r="I425" t="s">
        <v>6390</v>
      </c>
      <c r="J425" t="s">
        <v>3423</v>
      </c>
      <c r="K425" t="s">
        <v>74</v>
      </c>
      <c r="L425" t="s">
        <v>74</v>
      </c>
      <c r="M425" t="s">
        <v>79</v>
      </c>
      <c r="N425" t="s">
        <v>746</v>
      </c>
      <c r="O425" t="s">
        <v>74</v>
      </c>
      <c r="P425" t="s">
        <v>74</v>
      </c>
      <c r="Q425" t="s">
        <v>74</v>
      </c>
      <c r="R425" t="s">
        <v>74</v>
      </c>
      <c r="S425" t="s">
        <v>74</v>
      </c>
      <c r="T425" t="s">
        <v>74</v>
      </c>
      <c r="U425" t="s">
        <v>74</v>
      </c>
      <c r="V425" t="s">
        <v>74</v>
      </c>
      <c r="W425" t="s">
        <v>6391</v>
      </c>
      <c r="X425" t="s">
        <v>6392</v>
      </c>
      <c r="Y425" t="s">
        <v>6393</v>
      </c>
      <c r="Z425" t="s">
        <v>74</v>
      </c>
      <c r="AA425" t="s">
        <v>74</v>
      </c>
      <c r="AB425" t="s">
        <v>74</v>
      </c>
      <c r="AC425" t="s">
        <v>74</v>
      </c>
      <c r="AD425" t="s">
        <v>74</v>
      </c>
      <c r="AE425" t="s">
        <v>74</v>
      </c>
      <c r="AF425" t="s">
        <v>74</v>
      </c>
      <c r="AG425">
        <v>1</v>
      </c>
      <c r="AH425">
        <v>0</v>
      </c>
      <c r="AI425">
        <v>0</v>
      </c>
      <c r="AJ425">
        <v>0</v>
      </c>
      <c r="AK425">
        <v>0</v>
      </c>
      <c r="AL425" t="s">
        <v>5400</v>
      </c>
      <c r="AM425" t="s">
        <v>613</v>
      </c>
      <c r="AN425" t="s">
        <v>5401</v>
      </c>
      <c r="AO425" t="s">
        <v>3428</v>
      </c>
      <c r="AP425" t="s">
        <v>74</v>
      </c>
      <c r="AQ425" t="s">
        <v>74</v>
      </c>
      <c r="AR425" t="s">
        <v>3429</v>
      </c>
      <c r="AS425" t="s">
        <v>3430</v>
      </c>
      <c r="AT425" t="s">
        <v>6035</v>
      </c>
      <c r="AU425">
        <v>2004</v>
      </c>
      <c r="AV425">
        <v>129</v>
      </c>
      <c r="AW425">
        <v>14</v>
      </c>
      <c r="AX425" t="s">
        <v>74</v>
      </c>
      <c r="AY425" t="s">
        <v>74</v>
      </c>
      <c r="AZ425" t="s">
        <v>74</v>
      </c>
      <c r="BA425" t="s">
        <v>74</v>
      </c>
      <c r="BB425">
        <v>183</v>
      </c>
      <c r="BC425" t="s">
        <v>6394</v>
      </c>
      <c r="BD425" t="s">
        <v>74</v>
      </c>
      <c r="BE425" t="s">
        <v>74</v>
      </c>
      <c r="BF425" t="s">
        <v>74</v>
      </c>
      <c r="BG425" t="s">
        <v>74</v>
      </c>
      <c r="BH425" t="s">
        <v>74</v>
      </c>
      <c r="BI425">
        <v>2</v>
      </c>
      <c r="BJ425" t="s">
        <v>3431</v>
      </c>
      <c r="BK425" t="s">
        <v>3432</v>
      </c>
      <c r="BL425" t="s">
        <v>3431</v>
      </c>
      <c r="BM425" t="s">
        <v>6395</v>
      </c>
      <c r="BN425" t="s">
        <v>74</v>
      </c>
      <c r="BO425" t="s">
        <v>74</v>
      </c>
      <c r="BP425" t="s">
        <v>74</v>
      </c>
      <c r="BQ425" t="s">
        <v>74</v>
      </c>
      <c r="BR425" t="s">
        <v>98</v>
      </c>
      <c r="BS425" t="s">
        <v>6396</v>
      </c>
      <c r="BT425" t="str">
        <f>HYPERLINK("https%3A%2F%2Fwww.webofscience.com%2Fwos%2Fwoscc%2Ffull-record%2FWOS:000223674600254","View Full Record in Web of Science")</f>
        <v>View Full Record in Web of Science</v>
      </c>
    </row>
    <row r="426" spans="1:72" x14ac:dyDescent="0.15">
      <c r="A426" t="s">
        <v>122</v>
      </c>
      <c r="B426" t="s">
        <v>6397</v>
      </c>
      <c r="C426" t="s">
        <v>74</v>
      </c>
      <c r="D426" t="s">
        <v>74</v>
      </c>
      <c r="E426" t="s">
        <v>74</v>
      </c>
      <c r="F426" t="s">
        <v>6397</v>
      </c>
      <c r="G426" t="s">
        <v>74</v>
      </c>
      <c r="H426" t="s">
        <v>74</v>
      </c>
      <c r="I426" t="s">
        <v>6398</v>
      </c>
      <c r="J426" t="s">
        <v>3454</v>
      </c>
      <c r="K426" t="s">
        <v>74</v>
      </c>
      <c r="L426" t="s">
        <v>74</v>
      </c>
      <c r="M426" t="s">
        <v>79</v>
      </c>
      <c r="N426" t="s">
        <v>126</v>
      </c>
      <c r="O426" t="s">
        <v>74</v>
      </c>
      <c r="P426" t="s">
        <v>74</v>
      </c>
      <c r="Q426" t="s">
        <v>74</v>
      </c>
      <c r="R426" t="s">
        <v>74</v>
      </c>
      <c r="S426" t="s">
        <v>74</v>
      </c>
      <c r="T426" t="s">
        <v>74</v>
      </c>
      <c r="U426" t="s">
        <v>6399</v>
      </c>
      <c r="V426" t="s">
        <v>6400</v>
      </c>
      <c r="W426" t="s">
        <v>6401</v>
      </c>
      <c r="X426" t="s">
        <v>6402</v>
      </c>
      <c r="Y426" t="s">
        <v>6403</v>
      </c>
      <c r="Z426" t="s">
        <v>6404</v>
      </c>
      <c r="AA426" t="s">
        <v>504</v>
      </c>
      <c r="AB426" t="s">
        <v>6405</v>
      </c>
      <c r="AC426" t="s">
        <v>74</v>
      </c>
      <c r="AD426" t="s">
        <v>74</v>
      </c>
      <c r="AE426" t="s">
        <v>74</v>
      </c>
      <c r="AF426" t="s">
        <v>74</v>
      </c>
      <c r="AG426">
        <v>31</v>
      </c>
      <c r="AH426">
        <v>14</v>
      </c>
      <c r="AI426">
        <v>18</v>
      </c>
      <c r="AJ426">
        <v>3</v>
      </c>
      <c r="AK426">
        <v>23</v>
      </c>
      <c r="AL426" t="s">
        <v>3463</v>
      </c>
      <c r="AM426" t="s">
        <v>3464</v>
      </c>
      <c r="AN426" t="s">
        <v>3465</v>
      </c>
      <c r="AO426" t="s">
        <v>3466</v>
      </c>
      <c r="AP426" t="s">
        <v>74</v>
      </c>
      <c r="AQ426" t="s">
        <v>74</v>
      </c>
      <c r="AR426" t="s">
        <v>3467</v>
      </c>
      <c r="AS426" t="s">
        <v>3468</v>
      </c>
      <c r="AT426" t="s">
        <v>5484</v>
      </c>
      <c r="AU426">
        <v>2004</v>
      </c>
      <c r="AV426">
        <v>49</v>
      </c>
      <c r="AW426">
        <v>5</v>
      </c>
      <c r="AX426" t="s">
        <v>74</v>
      </c>
      <c r="AY426" t="s">
        <v>74</v>
      </c>
      <c r="AZ426" t="s">
        <v>74</v>
      </c>
      <c r="BA426" t="s">
        <v>74</v>
      </c>
      <c r="BB426">
        <v>1528</v>
      </c>
      <c r="BC426">
        <v>1539</v>
      </c>
      <c r="BD426" t="s">
        <v>74</v>
      </c>
      <c r="BE426" t="s">
        <v>6406</v>
      </c>
      <c r="BF426" t="str">
        <f>HYPERLINK("http://dx.doi.org/10.4319/lo.2004.49.5.1528","http://dx.doi.org/10.4319/lo.2004.49.5.1528")</f>
        <v>http://dx.doi.org/10.4319/lo.2004.49.5.1528</v>
      </c>
      <c r="BG426" t="s">
        <v>74</v>
      </c>
      <c r="BH426" t="s">
        <v>74</v>
      </c>
      <c r="BI426">
        <v>12</v>
      </c>
      <c r="BJ426" t="s">
        <v>3470</v>
      </c>
      <c r="BK426" t="s">
        <v>139</v>
      </c>
      <c r="BL426" t="s">
        <v>1709</v>
      </c>
      <c r="BM426" t="s">
        <v>6407</v>
      </c>
      <c r="BN426" t="s">
        <v>74</v>
      </c>
      <c r="BO426" t="s">
        <v>273</v>
      </c>
      <c r="BP426" t="s">
        <v>74</v>
      </c>
      <c r="BQ426" t="s">
        <v>74</v>
      </c>
      <c r="BR426" t="s">
        <v>98</v>
      </c>
      <c r="BS426" t="s">
        <v>6408</v>
      </c>
      <c r="BT426" t="str">
        <f>HYPERLINK("https%3A%2F%2Fwww.webofscience.com%2Fwos%2Fwoscc%2Ffull-record%2FWOS:000224979900006","View Full Record in Web of Science")</f>
        <v>View Full Record in Web of Science</v>
      </c>
    </row>
    <row r="427" spans="1:72" x14ac:dyDescent="0.15">
      <c r="A427" t="s">
        <v>122</v>
      </c>
      <c r="B427" t="s">
        <v>6409</v>
      </c>
      <c r="C427" t="s">
        <v>74</v>
      </c>
      <c r="D427" t="s">
        <v>74</v>
      </c>
      <c r="E427" t="s">
        <v>74</v>
      </c>
      <c r="F427" t="s">
        <v>6409</v>
      </c>
      <c r="G427" t="s">
        <v>74</v>
      </c>
      <c r="H427" t="s">
        <v>74</v>
      </c>
      <c r="I427" t="s">
        <v>6410</v>
      </c>
      <c r="J427" t="s">
        <v>1751</v>
      </c>
      <c r="K427" t="s">
        <v>74</v>
      </c>
      <c r="L427" t="s">
        <v>74</v>
      </c>
      <c r="M427" t="s">
        <v>79</v>
      </c>
      <c r="N427" t="s">
        <v>126</v>
      </c>
      <c r="O427" t="s">
        <v>74</v>
      </c>
      <c r="P427" t="s">
        <v>74</v>
      </c>
      <c r="Q427" t="s">
        <v>74</v>
      </c>
      <c r="R427" t="s">
        <v>74</v>
      </c>
      <c r="S427" t="s">
        <v>74</v>
      </c>
      <c r="T427" t="s">
        <v>74</v>
      </c>
      <c r="U427" t="s">
        <v>6411</v>
      </c>
      <c r="V427" t="s">
        <v>6412</v>
      </c>
      <c r="W427" t="s">
        <v>6413</v>
      </c>
      <c r="X427" t="s">
        <v>6414</v>
      </c>
      <c r="Y427" t="s">
        <v>6415</v>
      </c>
      <c r="Z427" t="s">
        <v>6416</v>
      </c>
      <c r="AA427" t="s">
        <v>6417</v>
      </c>
      <c r="AB427" t="s">
        <v>6418</v>
      </c>
      <c r="AC427" t="s">
        <v>74</v>
      </c>
      <c r="AD427" t="s">
        <v>74</v>
      </c>
      <c r="AE427" t="s">
        <v>74</v>
      </c>
      <c r="AF427" t="s">
        <v>74</v>
      </c>
      <c r="AG427">
        <v>35</v>
      </c>
      <c r="AH427">
        <v>48</v>
      </c>
      <c r="AI427">
        <v>59</v>
      </c>
      <c r="AJ427">
        <v>1</v>
      </c>
      <c r="AK427">
        <v>64</v>
      </c>
      <c r="AL427" t="s">
        <v>1509</v>
      </c>
      <c r="AM427" t="s">
        <v>613</v>
      </c>
      <c r="AN427" t="s">
        <v>1776</v>
      </c>
      <c r="AO427" t="s">
        <v>1758</v>
      </c>
      <c r="AP427" t="s">
        <v>74</v>
      </c>
      <c r="AQ427" t="s">
        <v>74</v>
      </c>
      <c r="AR427" t="s">
        <v>1760</v>
      </c>
      <c r="AS427" t="s">
        <v>1761</v>
      </c>
      <c r="AT427" t="s">
        <v>5484</v>
      </c>
      <c r="AU427">
        <v>2004</v>
      </c>
      <c r="AV427">
        <v>145</v>
      </c>
      <c r="AW427">
        <v>4</v>
      </c>
      <c r="AX427" t="s">
        <v>74</v>
      </c>
      <c r="AY427" t="s">
        <v>74</v>
      </c>
      <c r="AZ427" t="s">
        <v>74</v>
      </c>
      <c r="BA427" t="s">
        <v>74</v>
      </c>
      <c r="BB427">
        <v>821</v>
      </c>
      <c r="BC427">
        <v>831</v>
      </c>
      <c r="BD427" t="s">
        <v>74</v>
      </c>
      <c r="BE427" t="s">
        <v>6419</v>
      </c>
      <c r="BF427" t="str">
        <f>HYPERLINK("http://dx.doi.org/10.1007/s00227-004-1371-1","http://dx.doi.org/10.1007/s00227-004-1371-1")</f>
        <v>http://dx.doi.org/10.1007/s00227-004-1371-1</v>
      </c>
      <c r="BG427" t="s">
        <v>74</v>
      </c>
      <c r="BH427" t="s">
        <v>74</v>
      </c>
      <c r="BI427">
        <v>11</v>
      </c>
      <c r="BJ427" t="s">
        <v>1763</v>
      </c>
      <c r="BK427" t="s">
        <v>139</v>
      </c>
      <c r="BL427" t="s">
        <v>1763</v>
      </c>
      <c r="BM427" t="s">
        <v>6420</v>
      </c>
      <c r="BN427" t="s">
        <v>74</v>
      </c>
      <c r="BO427" t="s">
        <v>74</v>
      </c>
      <c r="BP427" t="s">
        <v>74</v>
      </c>
      <c r="BQ427" t="s">
        <v>74</v>
      </c>
      <c r="BR427" t="s">
        <v>98</v>
      </c>
      <c r="BS427" t="s">
        <v>6421</v>
      </c>
      <c r="BT427" t="str">
        <f>HYPERLINK("https%3A%2F%2Fwww.webofscience.com%2Fwos%2Fwoscc%2Ffull-record%2FWOS:000224527600020","View Full Record in Web of Science")</f>
        <v>View Full Record in Web of Science</v>
      </c>
    </row>
    <row r="428" spans="1:72" x14ac:dyDescent="0.15">
      <c r="A428" t="s">
        <v>122</v>
      </c>
      <c r="B428" t="s">
        <v>6422</v>
      </c>
      <c r="C428" t="s">
        <v>74</v>
      </c>
      <c r="D428" t="s">
        <v>74</v>
      </c>
      <c r="E428" t="s">
        <v>74</v>
      </c>
      <c r="F428" t="s">
        <v>6422</v>
      </c>
      <c r="G428" t="s">
        <v>74</v>
      </c>
      <c r="H428" t="s">
        <v>74</v>
      </c>
      <c r="I428" t="s">
        <v>6423</v>
      </c>
      <c r="J428" t="s">
        <v>1751</v>
      </c>
      <c r="K428" t="s">
        <v>74</v>
      </c>
      <c r="L428" t="s">
        <v>74</v>
      </c>
      <c r="M428" t="s">
        <v>79</v>
      </c>
      <c r="N428" t="s">
        <v>126</v>
      </c>
      <c r="O428" t="s">
        <v>74</v>
      </c>
      <c r="P428" t="s">
        <v>74</v>
      </c>
      <c r="Q428" t="s">
        <v>74</v>
      </c>
      <c r="R428" t="s">
        <v>74</v>
      </c>
      <c r="S428" t="s">
        <v>74</v>
      </c>
      <c r="T428" t="s">
        <v>74</v>
      </c>
      <c r="U428" t="s">
        <v>6424</v>
      </c>
      <c r="V428" t="s">
        <v>6425</v>
      </c>
      <c r="W428" t="s">
        <v>6426</v>
      </c>
      <c r="X428" t="s">
        <v>6427</v>
      </c>
      <c r="Y428" t="s">
        <v>6428</v>
      </c>
      <c r="Z428" t="s">
        <v>6429</v>
      </c>
      <c r="AA428" t="s">
        <v>74</v>
      </c>
      <c r="AB428" t="s">
        <v>6430</v>
      </c>
      <c r="AC428" t="s">
        <v>74</v>
      </c>
      <c r="AD428" t="s">
        <v>74</v>
      </c>
      <c r="AE428" t="s">
        <v>74</v>
      </c>
      <c r="AF428" t="s">
        <v>74</v>
      </c>
      <c r="AG428">
        <v>40</v>
      </c>
      <c r="AH428">
        <v>11</v>
      </c>
      <c r="AI428">
        <v>13</v>
      </c>
      <c r="AJ428">
        <v>0</v>
      </c>
      <c r="AK428">
        <v>10</v>
      </c>
      <c r="AL428" t="s">
        <v>1755</v>
      </c>
      <c r="AM428" t="s">
        <v>1756</v>
      </c>
      <c r="AN428" t="s">
        <v>1757</v>
      </c>
      <c r="AO428" t="s">
        <v>1758</v>
      </c>
      <c r="AP428" t="s">
        <v>1759</v>
      </c>
      <c r="AQ428" t="s">
        <v>74</v>
      </c>
      <c r="AR428" t="s">
        <v>1760</v>
      </c>
      <c r="AS428" t="s">
        <v>1761</v>
      </c>
      <c r="AT428" t="s">
        <v>5484</v>
      </c>
      <c r="AU428">
        <v>2004</v>
      </c>
      <c r="AV428">
        <v>145</v>
      </c>
      <c r="AW428">
        <v>4</v>
      </c>
      <c r="AX428" t="s">
        <v>74</v>
      </c>
      <c r="AY428" t="s">
        <v>74</v>
      </c>
      <c r="AZ428" t="s">
        <v>74</v>
      </c>
      <c r="BA428" t="s">
        <v>74</v>
      </c>
      <c r="BB428">
        <v>833</v>
      </c>
      <c r="BC428">
        <v>842</v>
      </c>
      <c r="BD428" t="s">
        <v>74</v>
      </c>
      <c r="BE428" t="s">
        <v>6431</v>
      </c>
      <c r="BF428" t="str">
        <f>HYPERLINK("http://dx.doi.org/10.1007/s00227-004-1373-z","http://dx.doi.org/10.1007/s00227-004-1373-z")</f>
        <v>http://dx.doi.org/10.1007/s00227-004-1373-z</v>
      </c>
      <c r="BG428" t="s">
        <v>74</v>
      </c>
      <c r="BH428" t="s">
        <v>74</v>
      </c>
      <c r="BI428">
        <v>10</v>
      </c>
      <c r="BJ428" t="s">
        <v>1763</v>
      </c>
      <c r="BK428" t="s">
        <v>139</v>
      </c>
      <c r="BL428" t="s">
        <v>1763</v>
      </c>
      <c r="BM428" t="s">
        <v>6420</v>
      </c>
      <c r="BN428" t="s">
        <v>74</v>
      </c>
      <c r="BO428" t="s">
        <v>74</v>
      </c>
      <c r="BP428" t="s">
        <v>74</v>
      </c>
      <c r="BQ428" t="s">
        <v>74</v>
      </c>
      <c r="BR428" t="s">
        <v>98</v>
      </c>
      <c r="BS428" t="s">
        <v>6432</v>
      </c>
      <c r="BT428" t="str">
        <f>HYPERLINK("https%3A%2F%2Fwww.webofscience.com%2Fwos%2Fwoscc%2Ffull-record%2FWOS:000224527600021","View Full Record in Web of Science")</f>
        <v>View Full Record in Web of Science</v>
      </c>
    </row>
    <row r="429" spans="1:72" x14ac:dyDescent="0.15">
      <c r="A429" t="s">
        <v>122</v>
      </c>
      <c r="B429" t="s">
        <v>6433</v>
      </c>
      <c r="C429" t="s">
        <v>74</v>
      </c>
      <c r="D429" t="s">
        <v>74</v>
      </c>
      <c r="E429" t="s">
        <v>74</v>
      </c>
      <c r="F429" t="s">
        <v>6433</v>
      </c>
      <c r="G429" t="s">
        <v>74</v>
      </c>
      <c r="H429" t="s">
        <v>74</v>
      </c>
      <c r="I429" t="s">
        <v>6434</v>
      </c>
      <c r="J429" t="s">
        <v>6435</v>
      </c>
      <c r="K429" t="s">
        <v>74</v>
      </c>
      <c r="L429" t="s">
        <v>74</v>
      </c>
      <c r="M429" t="s">
        <v>79</v>
      </c>
      <c r="N429" t="s">
        <v>126</v>
      </c>
      <c r="O429" t="s">
        <v>74</v>
      </c>
      <c r="P429" t="s">
        <v>74</v>
      </c>
      <c r="Q429" t="s">
        <v>74</v>
      </c>
      <c r="R429" t="s">
        <v>74</v>
      </c>
      <c r="S429" t="s">
        <v>74</v>
      </c>
      <c r="T429" t="s">
        <v>6436</v>
      </c>
      <c r="U429" t="s">
        <v>6437</v>
      </c>
      <c r="V429" t="s">
        <v>6438</v>
      </c>
      <c r="W429" t="s">
        <v>6439</v>
      </c>
      <c r="X429" t="s">
        <v>6440</v>
      </c>
      <c r="Y429" t="s">
        <v>6441</v>
      </c>
      <c r="Z429" t="s">
        <v>6442</v>
      </c>
      <c r="AA429" t="s">
        <v>74</v>
      </c>
      <c r="AB429" t="s">
        <v>6443</v>
      </c>
      <c r="AC429" t="s">
        <v>74</v>
      </c>
      <c r="AD429" t="s">
        <v>74</v>
      </c>
      <c r="AE429" t="s">
        <v>74</v>
      </c>
      <c r="AF429" t="s">
        <v>74</v>
      </c>
      <c r="AG429">
        <v>47</v>
      </c>
      <c r="AH429">
        <v>10</v>
      </c>
      <c r="AI429">
        <v>15</v>
      </c>
      <c r="AJ429">
        <v>2</v>
      </c>
      <c r="AK429">
        <v>22</v>
      </c>
      <c r="AL429" t="s">
        <v>1418</v>
      </c>
      <c r="AM429" t="s">
        <v>1419</v>
      </c>
      <c r="AN429" t="s">
        <v>1420</v>
      </c>
      <c r="AO429" t="s">
        <v>6444</v>
      </c>
      <c r="AP429" t="s">
        <v>74</v>
      </c>
      <c r="AQ429" t="s">
        <v>74</v>
      </c>
      <c r="AR429" t="s">
        <v>6445</v>
      </c>
      <c r="AS429" t="s">
        <v>6446</v>
      </c>
      <c r="AT429" t="s">
        <v>5484</v>
      </c>
      <c r="AU429">
        <v>2004</v>
      </c>
      <c r="AV429">
        <v>25</v>
      </c>
      <c r="AW429">
        <v>3</v>
      </c>
      <c r="AX429" t="s">
        <v>74</v>
      </c>
      <c r="AY429" t="s">
        <v>74</v>
      </c>
      <c r="AZ429" t="s">
        <v>74</v>
      </c>
      <c r="BA429" t="s">
        <v>74</v>
      </c>
      <c r="BB429">
        <v>191</v>
      </c>
      <c r="BC429">
        <v>206</v>
      </c>
      <c r="BD429" t="s">
        <v>74</v>
      </c>
      <c r="BE429" t="s">
        <v>6447</v>
      </c>
      <c r="BF429" t="str">
        <f>HYPERLINK("http://dx.doi.org/10.1111/j.1439-0485.2004.00025.x","http://dx.doi.org/10.1111/j.1439-0485.2004.00025.x")</f>
        <v>http://dx.doi.org/10.1111/j.1439-0485.2004.00025.x</v>
      </c>
      <c r="BG429" t="s">
        <v>74</v>
      </c>
      <c r="BH429" t="s">
        <v>74</v>
      </c>
      <c r="BI429">
        <v>16</v>
      </c>
      <c r="BJ429" t="s">
        <v>1763</v>
      </c>
      <c r="BK429" t="s">
        <v>139</v>
      </c>
      <c r="BL429" t="s">
        <v>1763</v>
      </c>
      <c r="BM429" t="s">
        <v>6448</v>
      </c>
      <c r="BN429" t="s">
        <v>74</v>
      </c>
      <c r="BO429" t="s">
        <v>74</v>
      </c>
      <c r="BP429" t="s">
        <v>74</v>
      </c>
      <c r="BQ429" t="s">
        <v>74</v>
      </c>
      <c r="BR429" t="s">
        <v>98</v>
      </c>
      <c r="BS429" t="s">
        <v>6449</v>
      </c>
      <c r="BT429" t="str">
        <f>HYPERLINK("https%3A%2F%2Fwww.webofscience.com%2Fwos%2Fwoscc%2Ffull-record%2FWOS:000223875800002","View Full Record in Web of Science")</f>
        <v>View Full Record in Web of Science</v>
      </c>
    </row>
    <row r="430" spans="1:72" x14ac:dyDescent="0.15">
      <c r="A430" t="s">
        <v>122</v>
      </c>
      <c r="B430" t="s">
        <v>6450</v>
      </c>
      <c r="C430" t="s">
        <v>74</v>
      </c>
      <c r="D430" t="s">
        <v>74</v>
      </c>
      <c r="E430" t="s">
        <v>74</v>
      </c>
      <c r="F430" t="s">
        <v>6450</v>
      </c>
      <c r="G430" t="s">
        <v>74</v>
      </c>
      <c r="H430" t="s">
        <v>74</v>
      </c>
      <c r="I430" t="s">
        <v>6451</v>
      </c>
      <c r="J430" t="s">
        <v>6452</v>
      </c>
      <c r="K430" t="s">
        <v>74</v>
      </c>
      <c r="L430" t="s">
        <v>74</v>
      </c>
      <c r="M430" t="s">
        <v>79</v>
      </c>
      <c r="N430" t="s">
        <v>126</v>
      </c>
      <c r="O430" t="s">
        <v>74</v>
      </c>
      <c r="P430" t="s">
        <v>74</v>
      </c>
      <c r="Q430" t="s">
        <v>74</v>
      </c>
      <c r="R430" t="s">
        <v>74</v>
      </c>
      <c r="S430" t="s">
        <v>74</v>
      </c>
      <c r="T430" t="s">
        <v>74</v>
      </c>
      <c r="U430" t="s">
        <v>6453</v>
      </c>
      <c r="V430" t="s">
        <v>6454</v>
      </c>
      <c r="W430" t="s">
        <v>6455</v>
      </c>
      <c r="X430" t="s">
        <v>6456</v>
      </c>
      <c r="Y430" t="s">
        <v>6457</v>
      </c>
      <c r="Z430" t="s">
        <v>6458</v>
      </c>
      <c r="AA430" t="s">
        <v>6459</v>
      </c>
      <c r="AB430" t="s">
        <v>6460</v>
      </c>
      <c r="AC430" t="s">
        <v>74</v>
      </c>
      <c r="AD430" t="s">
        <v>74</v>
      </c>
      <c r="AE430" t="s">
        <v>74</v>
      </c>
      <c r="AF430" t="s">
        <v>74</v>
      </c>
      <c r="AG430">
        <v>52</v>
      </c>
      <c r="AH430">
        <v>61</v>
      </c>
      <c r="AI430">
        <v>71</v>
      </c>
      <c r="AJ430">
        <v>0</v>
      </c>
      <c r="AK430">
        <v>10</v>
      </c>
      <c r="AL430" t="s">
        <v>1509</v>
      </c>
      <c r="AM430" t="s">
        <v>1510</v>
      </c>
      <c r="AN430" t="s">
        <v>1511</v>
      </c>
      <c r="AO430" t="s">
        <v>6461</v>
      </c>
      <c r="AP430" t="s">
        <v>6462</v>
      </c>
      <c r="AQ430" t="s">
        <v>74</v>
      </c>
      <c r="AR430" t="s">
        <v>6463</v>
      </c>
      <c r="AS430" t="s">
        <v>6464</v>
      </c>
      <c r="AT430" t="s">
        <v>5484</v>
      </c>
      <c r="AU430">
        <v>2004</v>
      </c>
      <c r="AV430">
        <v>25</v>
      </c>
      <c r="AW430" t="s">
        <v>538</v>
      </c>
      <c r="AX430" t="s">
        <v>74</v>
      </c>
      <c r="AY430" t="s">
        <v>74</v>
      </c>
      <c r="AZ430" t="s">
        <v>74</v>
      </c>
      <c r="BA430" t="s">
        <v>74</v>
      </c>
      <c r="BB430">
        <v>183</v>
      </c>
      <c r="BC430">
        <v>219</v>
      </c>
      <c r="BD430" t="s">
        <v>74</v>
      </c>
      <c r="BE430" t="s">
        <v>6465</v>
      </c>
      <c r="BF430" t="str">
        <f>HYPERLINK("http://dx.doi.org/10.1007/s11001-005-1316-1","http://dx.doi.org/10.1007/s11001-005-1316-1")</f>
        <v>http://dx.doi.org/10.1007/s11001-005-1316-1</v>
      </c>
      <c r="BG430" t="s">
        <v>74</v>
      </c>
      <c r="BH430" t="s">
        <v>74</v>
      </c>
      <c r="BI430">
        <v>35</v>
      </c>
      <c r="BJ430" t="s">
        <v>6466</v>
      </c>
      <c r="BK430" t="s">
        <v>139</v>
      </c>
      <c r="BL430" t="s">
        <v>6466</v>
      </c>
      <c r="BM430" t="s">
        <v>6467</v>
      </c>
      <c r="BN430" t="s">
        <v>74</v>
      </c>
      <c r="BO430" t="s">
        <v>988</v>
      </c>
      <c r="BP430" t="s">
        <v>74</v>
      </c>
      <c r="BQ430" t="s">
        <v>74</v>
      </c>
      <c r="BR430" t="s">
        <v>98</v>
      </c>
      <c r="BS430" t="s">
        <v>6468</v>
      </c>
      <c r="BT430" t="str">
        <f>HYPERLINK("https%3A%2F%2Fwww.webofscience.com%2Fwos%2Fwoscc%2Ffull-record%2FWOS:000232163200002","View Full Record in Web of Science")</f>
        <v>View Full Record in Web of Science</v>
      </c>
    </row>
    <row r="431" spans="1:72" x14ac:dyDescent="0.15">
      <c r="A431" t="s">
        <v>122</v>
      </c>
      <c r="B431" t="s">
        <v>6469</v>
      </c>
      <c r="C431" t="s">
        <v>74</v>
      </c>
      <c r="D431" t="s">
        <v>74</v>
      </c>
      <c r="E431" t="s">
        <v>74</v>
      </c>
      <c r="F431" t="s">
        <v>6469</v>
      </c>
      <c r="G431" t="s">
        <v>74</v>
      </c>
      <c r="H431" t="s">
        <v>74</v>
      </c>
      <c r="I431" t="s">
        <v>6470</v>
      </c>
      <c r="J431" t="s">
        <v>6452</v>
      </c>
      <c r="K431" t="s">
        <v>74</v>
      </c>
      <c r="L431" t="s">
        <v>74</v>
      </c>
      <c r="M431" t="s">
        <v>79</v>
      </c>
      <c r="N431" t="s">
        <v>126</v>
      </c>
      <c r="O431" t="s">
        <v>74</v>
      </c>
      <c r="P431" t="s">
        <v>74</v>
      </c>
      <c r="Q431" t="s">
        <v>74</v>
      </c>
      <c r="R431" t="s">
        <v>74</v>
      </c>
      <c r="S431" t="s">
        <v>74</v>
      </c>
      <c r="T431" t="s">
        <v>6471</v>
      </c>
      <c r="U431" t="s">
        <v>6472</v>
      </c>
      <c r="V431" t="s">
        <v>6473</v>
      </c>
      <c r="W431" t="s">
        <v>6474</v>
      </c>
      <c r="X431" t="s">
        <v>5316</v>
      </c>
      <c r="Y431" t="s">
        <v>6475</v>
      </c>
      <c r="Z431" t="s">
        <v>6476</v>
      </c>
      <c r="AA431" t="s">
        <v>74</v>
      </c>
      <c r="AB431" t="s">
        <v>6477</v>
      </c>
      <c r="AC431" t="s">
        <v>74</v>
      </c>
      <c r="AD431" t="s">
        <v>74</v>
      </c>
      <c r="AE431" t="s">
        <v>74</v>
      </c>
      <c r="AF431" t="s">
        <v>74</v>
      </c>
      <c r="AG431">
        <v>49</v>
      </c>
      <c r="AH431">
        <v>17</v>
      </c>
      <c r="AI431">
        <v>18</v>
      </c>
      <c r="AJ431">
        <v>1</v>
      </c>
      <c r="AK431">
        <v>13</v>
      </c>
      <c r="AL431" t="s">
        <v>1509</v>
      </c>
      <c r="AM431" t="s">
        <v>1510</v>
      </c>
      <c r="AN431" t="s">
        <v>1511</v>
      </c>
      <c r="AO431" t="s">
        <v>6461</v>
      </c>
      <c r="AP431" t="s">
        <v>6462</v>
      </c>
      <c r="AQ431" t="s">
        <v>74</v>
      </c>
      <c r="AR431" t="s">
        <v>6463</v>
      </c>
      <c r="AS431" t="s">
        <v>6464</v>
      </c>
      <c r="AT431" t="s">
        <v>5484</v>
      </c>
      <c r="AU431">
        <v>2004</v>
      </c>
      <c r="AV431">
        <v>25</v>
      </c>
      <c r="AW431" t="s">
        <v>538</v>
      </c>
      <c r="AX431" t="s">
        <v>74</v>
      </c>
      <c r="AY431" t="s">
        <v>74</v>
      </c>
      <c r="AZ431" t="s">
        <v>74</v>
      </c>
      <c r="BA431" t="s">
        <v>74</v>
      </c>
      <c r="BB431">
        <v>247</v>
      </c>
      <c r="BC431">
        <v>263</v>
      </c>
      <c r="BD431" t="s">
        <v>74</v>
      </c>
      <c r="BE431" t="s">
        <v>6478</v>
      </c>
      <c r="BF431" t="str">
        <f>HYPERLINK("http://dx.doi.org/10.1007/s11001-005-1321-4","http://dx.doi.org/10.1007/s11001-005-1321-4")</f>
        <v>http://dx.doi.org/10.1007/s11001-005-1321-4</v>
      </c>
      <c r="BG431" t="s">
        <v>74</v>
      </c>
      <c r="BH431" t="s">
        <v>74</v>
      </c>
      <c r="BI431">
        <v>17</v>
      </c>
      <c r="BJ431" t="s">
        <v>6466</v>
      </c>
      <c r="BK431" t="s">
        <v>139</v>
      </c>
      <c r="BL431" t="s">
        <v>6466</v>
      </c>
      <c r="BM431" t="s">
        <v>6467</v>
      </c>
      <c r="BN431" t="s">
        <v>74</v>
      </c>
      <c r="BO431" t="s">
        <v>74</v>
      </c>
      <c r="BP431" t="s">
        <v>74</v>
      </c>
      <c r="BQ431" t="s">
        <v>74</v>
      </c>
      <c r="BR431" t="s">
        <v>98</v>
      </c>
      <c r="BS431" t="s">
        <v>6479</v>
      </c>
      <c r="BT431" t="str">
        <f>HYPERLINK("https%3A%2F%2Fwww.webofscience.com%2Fwos%2Fwoscc%2Ffull-record%2FWOS:000232163200005","View Full Record in Web of Science")</f>
        <v>View Full Record in Web of Science</v>
      </c>
    </row>
    <row r="432" spans="1:72" x14ac:dyDescent="0.15">
      <c r="A432" t="s">
        <v>122</v>
      </c>
      <c r="B432" t="s">
        <v>6480</v>
      </c>
      <c r="C432" t="s">
        <v>74</v>
      </c>
      <c r="D432" t="s">
        <v>74</v>
      </c>
      <c r="E432" t="s">
        <v>74</v>
      </c>
      <c r="F432" t="s">
        <v>6480</v>
      </c>
      <c r="G432" t="s">
        <v>74</v>
      </c>
      <c r="H432" t="s">
        <v>74</v>
      </c>
      <c r="I432" t="s">
        <v>6481</v>
      </c>
      <c r="J432" t="s">
        <v>6482</v>
      </c>
      <c r="K432" t="s">
        <v>74</v>
      </c>
      <c r="L432" t="s">
        <v>74</v>
      </c>
      <c r="M432" t="s">
        <v>79</v>
      </c>
      <c r="N432" t="s">
        <v>918</v>
      </c>
      <c r="O432" t="s">
        <v>74</v>
      </c>
      <c r="P432" t="s">
        <v>74</v>
      </c>
      <c r="Q432" t="s">
        <v>74</v>
      </c>
      <c r="R432" t="s">
        <v>74</v>
      </c>
      <c r="S432" t="s">
        <v>74</v>
      </c>
      <c r="T432" t="s">
        <v>74</v>
      </c>
      <c r="U432" t="s">
        <v>74</v>
      </c>
      <c r="V432" t="s">
        <v>74</v>
      </c>
      <c r="W432" t="s">
        <v>6483</v>
      </c>
      <c r="X432" t="s">
        <v>548</v>
      </c>
      <c r="Y432" t="s">
        <v>6484</v>
      </c>
      <c r="Z432" t="s">
        <v>6485</v>
      </c>
      <c r="AA432" t="s">
        <v>74</v>
      </c>
      <c r="AB432" t="s">
        <v>6486</v>
      </c>
      <c r="AC432" t="s">
        <v>74</v>
      </c>
      <c r="AD432" t="s">
        <v>74</v>
      </c>
      <c r="AE432" t="s">
        <v>74</v>
      </c>
      <c r="AF432" t="s">
        <v>74</v>
      </c>
      <c r="AG432">
        <v>0</v>
      </c>
      <c r="AH432">
        <v>1</v>
      </c>
      <c r="AI432">
        <v>1</v>
      </c>
      <c r="AJ432">
        <v>0</v>
      </c>
      <c r="AK432">
        <v>0</v>
      </c>
      <c r="AL432" t="s">
        <v>1509</v>
      </c>
      <c r="AM432" t="s">
        <v>1510</v>
      </c>
      <c r="AN432" t="s">
        <v>1511</v>
      </c>
      <c r="AO432" t="s">
        <v>6461</v>
      </c>
      <c r="AP432" t="s">
        <v>74</v>
      </c>
      <c r="AQ432" t="s">
        <v>74</v>
      </c>
      <c r="AR432" t="s">
        <v>6463</v>
      </c>
      <c r="AS432" t="s">
        <v>6464</v>
      </c>
      <c r="AT432" t="s">
        <v>5484</v>
      </c>
      <c r="AU432">
        <v>2004</v>
      </c>
      <c r="AV432">
        <v>25</v>
      </c>
      <c r="AW432" t="s">
        <v>538</v>
      </c>
      <c r="AX432" t="s">
        <v>74</v>
      </c>
      <c r="AY432" t="s">
        <v>74</v>
      </c>
      <c r="AZ432" t="s">
        <v>74</v>
      </c>
      <c r="BA432" t="s">
        <v>74</v>
      </c>
      <c r="BB432">
        <v>181</v>
      </c>
      <c r="BC432">
        <v>182</v>
      </c>
      <c r="BD432" t="s">
        <v>74</v>
      </c>
      <c r="BE432" t="s">
        <v>6487</v>
      </c>
      <c r="BF432" t="str">
        <f>HYPERLINK("http://dx.doi.org/10.1007/s11001-005-1315-2","http://dx.doi.org/10.1007/s11001-005-1315-2")</f>
        <v>http://dx.doi.org/10.1007/s11001-005-1315-2</v>
      </c>
      <c r="BG432" t="s">
        <v>74</v>
      </c>
      <c r="BH432" t="s">
        <v>74</v>
      </c>
      <c r="BI432">
        <v>2</v>
      </c>
      <c r="BJ432" t="s">
        <v>6466</v>
      </c>
      <c r="BK432" t="s">
        <v>139</v>
      </c>
      <c r="BL432" t="s">
        <v>6466</v>
      </c>
      <c r="BM432" t="s">
        <v>6467</v>
      </c>
      <c r="BN432" t="s">
        <v>74</v>
      </c>
      <c r="BO432" t="s">
        <v>74</v>
      </c>
      <c r="BP432" t="s">
        <v>74</v>
      </c>
      <c r="BQ432" t="s">
        <v>74</v>
      </c>
      <c r="BR432" t="s">
        <v>98</v>
      </c>
      <c r="BS432" t="s">
        <v>6488</v>
      </c>
      <c r="BT432" t="str">
        <f>HYPERLINK("https%3A%2F%2Fwww.webofscience.com%2Fwos%2Fwoscc%2Ffull-record%2FWOS:000232163200001","View Full Record in Web of Science")</f>
        <v>View Full Record in Web of Science</v>
      </c>
    </row>
    <row r="433" spans="1:72" x14ac:dyDescent="0.15">
      <c r="A433" t="s">
        <v>122</v>
      </c>
      <c r="B433" t="s">
        <v>6489</v>
      </c>
      <c r="C433" t="s">
        <v>74</v>
      </c>
      <c r="D433" t="s">
        <v>74</v>
      </c>
      <c r="E433" t="s">
        <v>74</v>
      </c>
      <c r="F433" t="s">
        <v>6489</v>
      </c>
      <c r="G433" t="s">
        <v>74</v>
      </c>
      <c r="H433" t="s">
        <v>74</v>
      </c>
      <c r="I433" t="s">
        <v>6490</v>
      </c>
      <c r="J433" t="s">
        <v>6491</v>
      </c>
      <c r="K433" t="s">
        <v>74</v>
      </c>
      <c r="L433" t="s">
        <v>74</v>
      </c>
      <c r="M433" t="s">
        <v>79</v>
      </c>
      <c r="N433" t="s">
        <v>126</v>
      </c>
      <c r="O433" t="s">
        <v>74</v>
      </c>
      <c r="P433" t="s">
        <v>74</v>
      </c>
      <c r="Q433" t="s">
        <v>74</v>
      </c>
      <c r="R433" t="s">
        <v>74</v>
      </c>
      <c r="S433" t="s">
        <v>74</v>
      </c>
      <c r="T433" t="s">
        <v>6492</v>
      </c>
      <c r="U433" t="s">
        <v>74</v>
      </c>
      <c r="V433" t="s">
        <v>6493</v>
      </c>
      <c r="W433" t="s">
        <v>6494</v>
      </c>
      <c r="X433" t="s">
        <v>6495</v>
      </c>
      <c r="Y433" t="s">
        <v>6496</v>
      </c>
      <c r="Z433" t="s">
        <v>6497</v>
      </c>
      <c r="AA433" t="s">
        <v>74</v>
      </c>
      <c r="AB433" t="s">
        <v>74</v>
      </c>
      <c r="AC433" t="s">
        <v>74</v>
      </c>
      <c r="AD433" t="s">
        <v>74</v>
      </c>
      <c r="AE433" t="s">
        <v>74</v>
      </c>
      <c r="AF433" t="s">
        <v>74</v>
      </c>
      <c r="AG433">
        <v>25</v>
      </c>
      <c r="AH433">
        <v>19</v>
      </c>
      <c r="AI433">
        <v>26</v>
      </c>
      <c r="AJ433">
        <v>0</v>
      </c>
      <c r="AK433">
        <v>21</v>
      </c>
      <c r="AL433" t="s">
        <v>3797</v>
      </c>
      <c r="AM433" t="s">
        <v>197</v>
      </c>
      <c r="AN433" t="s">
        <v>3798</v>
      </c>
      <c r="AO433" t="s">
        <v>6498</v>
      </c>
      <c r="AP433" t="s">
        <v>6499</v>
      </c>
      <c r="AQ433" t="s">
        <v>74</v>
      </c>
      <c r="AR433" t="s">
        <v>6500</v>
      </c>
      <c r="AS433" t="s">
        <v>6501</v>
      </c>
      <c r="AT433" t="s">
        <v>5484</v>
      </c>
      <c r="AU433">
        <v>2004</v>
      </c>
      <c r="AV433">
        <v>28</v>
      </c>
      <c r="AW433">
        <v>5</v>
      </c>
      <c r="AX433" t="s">
        <v>74</v>
      </c>
      <c r="AY433" t="s">
        <v>74</v>
      </c>
      <c r="AZ433" t="s">
        <v>74</v>
      </c>
      <c r="BA433" t="s">
        <v>74</v>
      </c>
      <c r="BB433">
        <v>361</v>
      </c>
      <c r="BC433">
        <v>374</v>
      </c>
      <c r="BD433" t="s">
        <v>74</v>
      </c>
      <c r="BE433" t="s">
        <v>6502</v>
      </c>
      <c r="BF433" t="str">
        <f>HYPERLINK("http://dx.doi.org/10.1016/j.marpol.2003.10.001","http://dx.doi.org/10.1016/j.marpol.2003.10.001")</f>
        <v>http://dx.doi.org/10.1016/j.marpol.2003.10.001</v>
      </c>
      <c r="BG433" t="s">
        <v>74</v>
      </c>
      <c r="BH433" t="s">
        <v>74</v>
      </c>
      <c r="BI433">
        <v>14</v>
      </c>
      <c r="BJ433" t="s">
        <v>6503</v>
      </c>
      <c r="BK433" t="s">
        <v>3432</v>
      </c>
      <c r="BL433" t="s">
        <v>6504</v>
      </c>
      <c r="BM433" t="s">
        <v>6505</v>
      </c>
      <c r="BN433" t="s">
        <v>74</v>
      </c>
      <c r="BO433" t="s">
        <v>74</v>
      </c>
      <c r="BP433" t="s">
        <v>74</v>
      </c>
      <c r="BQ433" t="s">
        <v>74</v>
      </c>
      <c r="BR433" t="s">
        <v>98</v>
      </c>
      <c r="BS433" t="s">
        <v>6506</v>
      </c>
      <c r="BT433" t="str">
        <f>HYPERLINK("https%3A%2F%2Fwww.webofscience.com%2Fwos%2Fwoscc%2Ffull-record%2FWOS:000222676400001","View Full Record in Web of Science")</f>
        <v>View Full Record in Web of Science</v>
      </c>
    </row>
    <row r="434" spans="1:72" x14ac:dyDescent="0.15">
      <c r="A434" t="s">
        <v>122</v>
      </c>
      <c r="B434" t="s">
        <v>3504</v>
      </c>
      <c r="C434" t="s">
        <v>74</v>
      </c>
      <c r="D434" t="s">
        <v>74</v>
      </c>
      <c r="E434" t="s">
        <v>74</v>
      </c>
      <c r="F434" t="s">
        <v>3504</v>
      </c>
      <c r="G434" t="s">
        <v>74</v>
      </c>
      <c r="H434" t="s">
        <v>74</v>
      </c>
      <c r="I434" t="s">
        <v>6507</v>
      </c>
      <c r="J434" t="s">
        <v>1781</v>
      </c>
      <c r="K434" t="s">
        <v>74</v>
      </c>
      <c r="L434" t="s">
        <v>74</v>
      </c>
      <c r="M434" t="s">
        <v>79</v>
      </c>
      <c r="N434" t="s">
        <v>840</v>
      </c>
      <c r="O434" t="s">
        <v>74</v>
      </c>
      <c r="P434" t="s">
        <v>74</v>
      </c>
      <c r="Q434" t="s">
        <v>74</v>
      </c>
      <c r="R434" t="s">
        <v>74</v>
      </c>
      <c r="S434" t="s">
        <v>74</v>
      </c>
      <c r="T434" t="s">
        <v>74</v>
      </c>
      <c r="U434" t="s">
        <v>74</v>
      </c>
      <c r="V434" t="s">
        <v>74</v>
      </c>
      <c r="W434" t="s">
        <v>74</v>
      </c>
      <c r="X434" t="s">
        <v>74</v>
      </c>
      <c r="Y434" t="s">
        <v>74</v>
      </c>
      <c r="Z434" t="s">
        <v>74</v>
      </c>
      <c r="AA434" t="s">
        <v>74</v>
      </c>
      <c r="AB434" t="s">
        <v>74</v>
      </c>
      <c r="AC434" t="s">
        <v>74</v>
      </c>
      <c r="AD434" t="s">
        <v>74</v>
      </c>
      <c r="AE434" t="s">
        <v>74</v>
      </c>
      <c r="AF434" t="s">
        <v>74</v>
      </c>
      <c r="AG434">
        <v>0</v>
      </c>
      <c r="AH434">
        <v>0</v>
      </c>
      <c r="AI434">
        <v>0</v>
      </c>
      <c r="AJ434">
        <v>0</v>
      </c>
      <c r="AK434">
        <v>0</v>
      </c>
      <c r="AL434" t="s">
        <v>1273</v>
      </c>
      <c r="AM434" t="s">
        <v>197</v>
      </c>
      <c r="AN434" t="s">
        <v>1274</v>
      </c>
      <c r="AO434" t="s">
        <v>1791</v>
      </c>
      <c r="AP434" t="s">
        <v>1792</v>
      </c>
      <c r="AQ434" t="s">
        <v>74</v>
      </c>
      <c r="AR434" t="s">
        <v>1793</v>
      </c>
      <c r="AS434" t="s">
        <v>1794</v>
      </c>
      <c r="AT434" t="s">
        <v>5484</v>
      </c>
      <c r="AU434">
        <v>2004</v>
      </c>
      <c r="AV434">
        <v>49</v>
      </c>
      <c r="AW434" t="s">
        <v>6508</v>
      </c>
      <c r="AX434" t="s">
        <v>74</v>
      </c>
      <c r="AY434" t="s">
        <v>74</v>
      </c>
      <c r="AZ434" t="s">
        <v>74</v>
      </c>
      <c r="BA434" t="s">
        <v>74</v>
      </c>
      <c r="BB434">
        <v>372</v>
      </c>
      <c r="BC434">
        <v>373</v>
      </c>
      <c r="BD434" t="s">
        <v>74</v>
      </c>
      <c r="BE434" t="s">
        <v>74</v>
      </c>
      <c r="BF434" t="s">
        <v>74</v>
      </c>
      <c r="BG434" t="s">
        <v>74</v>
      </c>
      <c r="BH434" t="s">
        <v>74</v>
      </c>
      <c r="BI434">
        <v>2</v>
      </c>
      <c r="BJ434" t="s">
        <v>1796</v>
      </c>
      <c r="BK434" t="s">
        <v>139</v>
      </c>
      <c r="BL434" t="s">
        <v>1797</v>
      </c>
      <c r="BM434" t="s">
        <v>6509</v>
      </c>
      <c r="BN434" t="s">
        <v>74</v>
      </c>
      <c r="BO434" t="s">
        <v>74</v>
      </c>
      <c r="BP434" t="s">
        <v>74</v>
      </c>
      <c r="BQ434" t="s">
        <v>74</v>
      </c>
      <c r="BR434" t="s">
        <v>98</v>
      </c>
      <c r="BS434" t="s">
        <v>6510</v>
      </c>
      <c r="BT434" t="str">
        <f>HYPERLINK("https%3A%2F%2Fwww.webofscience.com%2Fwos%2Fwoscc%2Ffull-record%2FWOS:000223817200008","View Full Record in Web of Science")</f>
        <v>View Full Record in Web of Science</v>
      </c>
    </row>
    <row r="435" spans="1:72" x14ac:dyDescent="0.15">
      <c r="A435" t="s">
        <v>122</v>
      </c>
      <c r="B435" t="s">
        <v>6511</v>
      </c>
      <c r="C435" t="s">
        <v>74</v>
      </c>
      <c r="D435" t="s">
        <v>74</v>
      </c>
      <c r="E435" t="s">
        <v>74</v>
      </c>
      <c r="F435" t="s">
        <v>6511</v>
      </c>
      <c r="G435" t="s">
        <v>74</v>
      </c>
      <c r="H435" t="s">
        <v>74</v>
      </c>
      <c r="I435" t="s">
        <v>6512</v>
      </c>
      <c r="J435" t="s">
        <v>1781</v>
      </c>
      <c r="K435" t="s">
        <v>74</v>
      </c>
      <c r="L435" t="s">
        <v>74</v>
      </c>
      <c r="M435" t="s">
        <v>79</v>
      </c>
      <c r="N435" t="s">
        <v>126</v>
      </c>
      <c r="O435" t="s">
        <v>74</v>
      </c>
      <c r="P435" t="s">
        <v>74</v>
      </c>
      <c r="Q435" t="s">
        <v>74</v>
      </c>
      <c r="R435" t="s">
        <v>74</v>
      </c>
      <c r="S435" t="s">
        <v>74</v>
      </c>
      <c r="T435" t="s">
        <v>6513</v>
      </c>
      <c r="U435" t="s">
        <v>6514</v>
      </c>
      <c r="V435" t="s">
        <v>6515</v>
      </c>
      <c r="W435" t="s">
        <v>6516</v>
      </c>
      <c r="X435" t="s">
        <v>6517</v>
      </c>
      <c r="Y435" t="s">
        <v>6518</v>
      </c>
      <c r="Z435" t="s">
        <v>6519</v>
      </c>
      <c r="AA435" t="s">
        <v>74</v>
      </c>
      <c r="AB435" t="s">
        <v>6520</v>
      </c>
      <c r="AC435" t="s">
        <v>74</v>
      </c>
      <c r="AD435" t="s">
        <v>74</v>
      </c>
      <c r="AE435" t="s">
        <v>74</v>
      </c>
      <c r="AF435" t="s">
        <v>74</v>
      </c>
      <c r="AG435">
        <v>31</v>
      </c>
      <c r="AH435">
        <v>84</v>
      </c>
      <c r="AI435">
        <v>95</v>
      </c>
      <c r="AJ435">
        <v>3</v>
      </c>
      <c r="AK435">
        <v>19</v>
      </c>
      <c r="AL435" t="s">
        <v>1273</v>
      </c>
      <c r="AM435" t="s">
        <v>197</v>
      </c>
      <c r="AN435" t="s">
        <v>1274</v>
      </c>
      <c r="AO435" t="s">
        <v>1791</v>
      </c>
      <c r="AP435" t="s">
        <v>1792</v>
      </c>
      <c r="AQ435" t="s">
        <v>74</v>
      </c>
      <c r="AR435" t="s">
        <v>1793</v>
      </c>
      <c r="AS435" t="s">
        <v>1794</v>
      </c>
      <c r="AT435" t="s">
        <v>5484</v>
      </c>
      <c r="AU435">
        <v>2004</v>
      </c>
      <c r="AV435">
        <v>49</v>
      </c>
      <c r="AW435" t="s">
        <v>6508</v>
      </c>
      <c r="AX435" t="s">
        <v>74</v>
      </c>
      <c r="AY435" t="s">
        <v>74</v>
      </c>
      <c r="AZ435" t="s">
        <v>74</v>
      </c>
      <c r="BA435" t="s">
        <v>74</v>
      </c>
      <c r="BB435">
        <v>405</v>
      </c>
      <c r="BC435">
        <v>409</v>
      </c>
      <c r="BD435" t="s">
        <v>74</v>
      </c>
      <c r="BE435" t="s">
        <v>6521</v>
      </c>
      <c r="BF435" t="str">
        <f>HYPERLINK("http://dx.doi.org/10.1016/j.marpolbul.2004.02.026","http://dx.doi.org/10.1016/j.marpolbul.2004.02.026")</f>
        <v>http://dx.doi.org/10.1016/j.marpolbul.2004.02.026</v>
      </c>
      <c r="BG435" t="s">
        <v>74</v>
      </c>
      <c r="BH435" t="s">
        <v>74</v>
      </c>
      <c r="BI435">
        <v>5</v>
      </c>
      <c r="BJ435" t="s">
        <v>1796</v>
      </c>
      <c r="BK435" t="s">
        <v>139</v>
      </c>
      <c r="BL435" t="s">
        <v>1797</v>
      </c>
      <c r="BM435" t="s">
        <v>6509</v>
      </c>
      <c r="BN435">
        <v>15325208</v>
      </c>
      <c r="BO435" t="s">
        <v>74</v>
      </c>
      <c r="BP435" t="s">
        <v>74</v>
      </c>
      <c r="BQ435" t="s">
        <v>74</v>
      </c>
      <c r="BR435" t="s">
        <v>98</v>
      </c>
      <c r="BS435" t="s">
        <v>6522</v>
      </c>
      <c r="BT435" t="str">
        <f>HYPERLINK("https%3A%2F%2Fwww.webofscience.com%2Fwos%2Fwoscc%2Ffull-record%2FWOS:000223817200018","View Full Record in Web of Science")</f>
        <v>View Full Record in Web of Science</v>
      </c>
    </row>
    <row r="436" spans="1:72" x14ac:dyDescent="0.15">
      <c r="A436" t="s">
        <v>122</v>
      </c>
      <c r="B436" t="s">
        <v>6523</v>
      </c>
      <c r="C436" t="s">
        <v>74</v>
      </c>
      <c r="D436" t="s">
        <v>74</v>
      </c>
      <c r="E436" t="s">
        <v>74</v>
      </c>
      <c r="F436" t="s">
        <v>6523</v>
      </c>
      <c r="G436" t="s">
        <v>74</v>
      </c>
      <c r="H436" t="s">
        <v>74</v>
      </c>
      <c r="I436" t="s">
        <v>6524</v>
      </c>
      <c r="J436" t="s">
        <v>1781</v>
      </c>
      <c r="K436" t="s">
        <v>74</v>
      </c>
      <c r="L436" t="s">
        <v>74</v>
      </c>
      <c r="M436" t="s">
        <v>79</v>
      </c>
      <c r="N436" t="s">
        <v>126</v>
      </c>
      <c r="O436" t="s">
        <v>74</v>
      </c>
      <c r="P436" t="s">
        <v>74</v>
      </c>
      <c r="Q436" t="s">
        <v>74</v>
      </c>
      <c r="R436" t="s">
        <v>74</v>
      </c>
      <c r="S436" t="s">
        <v>74</v>
      </c>
      <c r="T436" t="s">
        <v>6525</v>
      </c>
      <c r="U436" t="s">
        <v>6526</v>
      </c>
      <c r="V436" t="s">
        <v>6527</v>
      </c>
      <c r="W436" t="s">
        <v>6528</v>
      </c>
      <c r="X436" t="s">
        <v>6529</v>
      </c>
      <c r="Y436" t="s">
        <v>6530</v>
      </c>
      <c r="Z436" t="s">
        <v>6531</v>
      </c>
      <c r="AA436" t="s">
        <v>6532</v>
      </c>
      <c r="AB436" t="s">
        <v>6533</v>
      </c>
      <c r="AC436" t="s">
        <v>74</v>
      </c>
      <c r="AD436" t="s">
        <v>74</v>
      </c>
      <c r="AE436" t="s">
        <v>74</v>
      </c>
      <c r="AF436" t="s">
        <v>74</v>
      </c>
      <c r="AG436">
        <v>85</v>
      </c>
      <c r="AH436">
        <v>49</v>
      </c>
      <c r="AI436">
        <v>54</v>
      </c>
      <c r="AJ436">
        <v>0</v>
      </c>
      <c r="AK436">
        <v>24</v>
      </c>
      <c r="AL436" t="s">
        <v>1273</v>
      </c>
      <c r="AM436" t="s">
        <v>197</v>
      </c>
      <c r="AN436" t="s">
        <v>1274</v>
      </c>
      <c r="AO436" t="s">
        <v>1791</v>
      </c>
      <c r="AP436" t="s">
        <v>1792</v>
      </c>
      <c r="AQ436" t="s">
        <v>74</v>
      </c>
      <c r="AR436" t="s">
        <v>1793</v>
      </c>
      <c r="AS436" t="s">
        <v>1794</v>
      </c>
      <c r="AT436" t="s">
        <v>5484</v>
      </c>
      <c r="AU436">
        <v>2004</v>
      </c>
      <c r="AV436">
        <v>49</v>
      </c>
      <c r="AW436" t="s">
        <v>6508</v>
      </c>
      <c r="AX436" t="s">
        <v>74</v>
      </c>
      <c r="AY436" t="s">
        <v>74</v>
      </c>
      <c r="AZ436" t="s">
        <v>74</v>
      </c>
      <c r="BA436" t="s">
        <v>74</v>
      </c>
      <c r="BB436">
        <v>445</v>
      </c>
      <c r="BC436">
        <v>455</v>
      </c>
      <c r="BD436" t="s">
        <v>74</v>
      </c>
      <c r="BE436" t="s">
        <v>6534</v>
      </c>
      <c r="BF436" t="str">
        <f>HYPERLINK("http://dx.doi.org/10.1016/j.marpolbul.2004.02.033","http://dx.doi.org/10.1016/j.marpolbul.2004.02.033")</f>
        <v>http://dx.doi.org/10.1016/j.marpolbul.2004.02.033</v>
      </c>
      <c r="BG436" t="s">
        <v>74</v>
      </c>
      <c r="BH436" t="s">
        <v>74</v>
      </c>
      <c r="BI436">
        <v>11</v>
      </c>
      <c r="BJ436" t="s">
        <v>1796</v>
      </c>
      <c r="BK436" t="s">
        <v>139</v>
      </c>
      <c r="BL436" t="s">
        <v>1797</v>
      </c>
      <c r="BM436" t="s">
        <v>6509</v>
      </c>
      <c r="BN436">
        <v>15325212</v>
      </c>
      <c r="BO436" t="s">
        <v>74</v>
      </c>
      <c r="BP436" t="s">
        <v>74</v>
      </c>
      <c r="BQ436" t="s">
        <v>74</v>
      </c>
      <c r="BR436" t="s">
        <v>98</v>
      </c>
      <c r="BS436" t="s">
        <v>6535</v>
      </c>
      <c r="BT436" t="str">
        <f>HYPERLINK("https%3A%2F%2Fwww.webofscience.com%2Fwos%2Fwoscc%2Ffull-record%2FWOS:000223817200022","View Full Record in Web of Science")</f>
        <v>View Full Record in Web of Science</v>
      </c>
    </row>
    <row r="437" spans="1:72" x14ac:dyDescent="0.15">
      <c r="A437" t="s">
        <v>122</v>
      </c>
      <c r="B437" t="s">
        <v>6536</v>
      </c>
      <c r="C437" t="s">
        <v>74</v>
      </c>
      <c r="D437" t="s">
        <v>74</v>
      </c>
      <c r="E437" t="s">
        <v>74</v>
      </c>
      <c r="F437" t="s">
        <v>6536</v>
      </c>
      <c r="G437" t="s">
        <v>74</v>
      </c>
      <c r="H437" t="s">
        <v>74</v>
      </c>
      <c r="I437" t="s">
        <v>6537</v>
      </c>
      <c r="J437" t="s">
        <v>3563</v>
      </c>
      <c r="K437" t="s">
        <v>74</v>
      </c>
      <c r="L437" t="s">
        <v>74</v>
      </c>
      <c r="M437" t="s">
        <v>79</v>
      </c>
      <c r="N437" t="s">
        <v>126</v>
      </c>
      <c r="O437" t="s">
        <v>74</v>
      </c>
      <c r="P437" t="s">
        <v>74</v>
      </c>
      <c r="Q437" t="s">
        <v>74</v>
      </c>
      <c r="R437" t="s">
        <v>74</v>
      </c>
      <c r="S437" t="s">
        <v>74</v>
      </c>
      <c r="T437" t="s">
        <v>6538</v>
      </c>
      <c r="U437" t="s">
        <v>6539</v>
      </c>
      <c r="V437" t="s">
        <v>6540</v>
      </c>
      <c r="W437" t="s">
        <v>6541</v>
      </c>
      <c r="X437" t="s">
        <v>6542</v>
      </c>
      <c r="Y437" t="s">
        <v>6543</v>
      </c>
      <c r="Z437" t="s">
        <v>6544</v>
      </c>
      <c r="AA437" t="s">
        <v>6545</v>
      </c>
      <c r="AB437" t="s">
        <v>6546</v>
      </c>
      <c r="AC437" t="s">
        <v>74</v>
      </c>
      <c r="AD437" t="s">
        <v>74</v>
      </c>
      <c r="AE437" t="s">
        <v>74</v>
      </c>
      <c r="AF437" t="s">
        <v>74</v>
      </c>
      <c r="AG437">
        <v>68</v>
      </c>
      <c r="AH437">
        <v>114</v>
      </c>
      <c r="AI437">
        <v>127</v>
      </c>
      <c r="AJ437">
        <v>0</v>
      </c>
      <c r="AK437">
        <v>31</v>
      </c>
      <c r="AL437" t="s">
        <v>1418</v>
      </c>
      <c r="AM437" t="s">
        <v>1419</v>
      </c>
      <c r="AN437" t="s">
        <v>1420</v>
      </c>
      <c r="AO437" t="s">
        <v>3572</v>
      </c>
      <c r="AP437" t="s">
        <v>6547</v>
      </c>
      <c r="AQ437" t="s">
        <v>74</v>
      </c>
      <c r="AR437" t="s">
        <v>3573</v>
      </c>
      <c r="AS437" t="s">
        <v>3574</v>
      </c>
      <c r="AT437" t="s">
        <v>5484</v>
      </c>
      <c r="AU437">
        <v>2004</v>
      </c>
      <c r="AV437">
        <v>13</v>
      </c>
      <c r="AW437">
        <v>9</v>
      </c>
      <c r="AX437" t="s">
        <v>74</v>
      </c>
      <c r="AY437" t="s">
        <v>74</v>
      </c>
      <c r="AZ437" t="s">
        <v>74</v>
      </c>
      <c r="BA437" t="s">
        <v>74</v>
      </c>
      <c r="BB437">
        <v>2603</v>
      </c>
      <c r="BC437">
        <v>2615</v>
      </c>
      <c r="BD437" t="s">
        <v>74</v>
      </c>
      <c r="BE437" t="s">
        <v>6548</v>
      </c>
      <c r="BF437" t="str">
        <f>HYPERLINK("http://dx.doi.org/10.1111/j.1365-294X.2004.02287.x","http://dx.doi.org/10.1111/j.1365-294X.2004.02287.x")</f>
        <v>http://dx.doi.org/10.1111/j.1365-294X.2004.02287.x</v>
      </c>
      <c r="BG437" t="s">
        <v>74</v>
      </c>
      <c r="BH437" t="s">
        <v>74</v>
      </c>
      <c r="BI437">
        <v>13</v>
      </c>
      <c r="BJ437" t="s">
        <v>3576</v>
      </c>
      <c r="BK437" t="s">
        <v>139</v>
      </c>
      <c r="BL437" t="s">
        <v>3577</v>
      </c>
      <c r="BM437" t="s">
        <v>6549</v>
      </c>
      <c r="BN437">
        <v>15315674</v>
      </c>
      <c r="BO437" t="s">
        <v>74</v>
      </c>
      <c r="BP437" t="s">
        <v>74</v>
      </c>
      <c r="BQ437" t="s">
        <v>74</v>
      </c>
      <c r="BR437" t="s">
        <v>98</v>
      </c>
      <c r="BS437" t="s">
        <v>6550</v>
      </c>
      <c r="BT437" t="str">
        <f>HYPERLINK("https%3A%2F%2Fwww.webofscience.com%2Fwos%2Fwoscc%2Ffull-record%2FWOS:000223291200009","View Full Record in Web of Science")</f>
        <v>View Full Record in Web of Science</v>
      </c>
    </row>
    <row r="438" spans="1:72" x14ac:dyDescent="0.15">
      <c r="A438" t="s">
        <v>122</v>
      </c>
      <c r="B438" t="s">
        <v>6551</v>
      </c>
      <c r="C438" t="s">
        <v>74</v>
      </c>
      <c r="D438" t="s">
        <v>74</v>
      </c>
      <c r="E438" t="s">
        <v>74</v>
      </c>
      <c r="F438" t="s">
        <v>6551</v>
      </c>
      <c r="G438" t="s">
        <v>74</v>
      </c>
      <c r="H438" t="s">
        <v>74</v>
      </c>
      <c r="I438" t="s">
        <v>6552</v>
      </c>
      <c r="J438" t="s">
        <v>6553</v>
      </c>
      <c r="K438" t="s">
        <v>74</v>
      </c>
      <c r="L438" t="s">
        <v>74</v>
      </c>
      <c r="M438" t="s">
        <v>79</v>
      </c>
      <c r="N438" t="s">
        <v>126</v>
      </c>
      <c r="O438" t="s">
        <v>74</v>
      </c>
      <c r="P438" t="s">
        <v>74</v>
      </c>
      <c r="Q438" t="s">
        <v>74</v>
      </c>
      <c r="R438" t="s">
        <v>74</v>
      </c>
      <c r="S438" t="s">
        <v>74</v>
      </c>
      <c r="T438" t="s">
        <v>74</v>
      </c>
      <c r="U438" t="s">
        <v>6554</v>
      </c>
      <c r="V438" t="s">
        <v>6555</v>
      </c>
      <c r="W438" t="s">
        <v>6556</v>
      </c>
      <c r="X438" t="s">
        <v>6557</v>
      </c>
      <c r="Y438" t="s">
        <v>6558</v>
      </c>
      <c r="Z438" t="s">
        <v>6559</v>
      </c>
      <c r="AA438" t="s">
        <v>6560</v>
      </c>
      <c r="AB438" t="s">
        <v>6561</v>
      </c>
      <c r="AC438" t="s">
        <v>74</v>
      </c>
      <c r="AD438" t="s">
        <v>74</v>
      </c>
      <c r="AE438" t="s">
        <v>74</v>
      </c>
      <c r="AF438" t="s">
        <v>74</v>
      </c>
      <c r="AG438">
        <v>40</v>
      </c>
      <c r="AH438">
        <v>103</v>
      </c>
      <c r="AI438">
        <v>120</v>
      </c>
      <c r="AJ438">
        <v>0</v>
      </c>
      <c r="AK438">
        <v>23</v>
      </c>
      <c r="AL438" t="s">
        <v>3760</v>
      </c>
      <c r="AM438" t="s">
        <v>3761</v>
      </c>
      <c r="AN438" t="s">
        <v>3762</v>
      </c>
      <c r="AO438" t="s">
        <v>6562</v>
      </c>
      <c r="AP438" t="s">
        <v>6563</v>
      </c>
      <c r="AQ438" t="s">
        <v>74</v>
      </c>
      <c r="AR438" t="s">
        <v>6564</v>
      </c>
      <c r="AS438" t="s">
        <v>6565</v>
      </c>
      <c r="AT438" t="s">
        <v>5484</v>
      </c>
      <c r="AU438">
        <v>2004</v>
      </c>
      <c r="AV438">
        <v>32</v>
      </c>
      <c r="AW438">
        <v>3</v>
      </c>
      <c r="AX438" t="s">
        <v>74</v>
      </c>
      <c r="AY438" t="s">
        <v>74</v>
      </c>
      <c r="AZ438" t="s">
        <v>74</v>
      </c>
      <c r="BA438" t="s">
        <v>74</v>
      </c>
      <c r="BB438">
        <v>881</v>
      </c>
      <c r="BC438">
        <v>891</v>
      </c>
      <c r="BD438" t="s">
        <v>74</v>
      </c>
      <c r="BE438" t="s">
        <v>6566</v>
      </c>
      <c r="BF438" t="str">
        <f>HYPERLINK("http://dx.doi.org/10.1016/j.ympev.2004.01.002","http://dx.doi.org/10.1016/j.ympev.2004.01.002")</f>
        <v>http://dx.doi.org/10.1016/j.ympev.2004.01.002</v>
      </c>
      <c r="BG438" t="s">
        <v>74</v>
      </c>
      <c r="BH438" t="s">
        <v>74</v>
      </c>
      <c r="BI438">
        <v>11</v>
      </c>
      <c r="BJ438" t="s">
        <v>1844</v>
      </c>
      <c r="BK438" t="s">
        <v>139</v>
      </c>
      <c r="BL438" t="s">
        <v>1844</v>
      </c>
      <c r="BM438" t="s">
        <v>6567</v>
      </c>
      <c r="BN438">
        <v>15288063</v>
      </c>
      <c r="BO438" t="s">
        <v>74</v>
      </c>
      <c r="BP438" t="s">
        <v>74</v>
      </c>
      <c r="BQ438" t="s">
        <v>74</v>
      </c>
      <c r="BR438" t="s">
        <v>98</v>
      </c>
      <c r="BS438" t="s">
        <v>6568</v>
      </c>
      <c r="BT438" t="str">
        <f>HYPERLINK("https%3A%2F%2Fwww.webofscience.com%2Fwos%2Fwoscc%2Ffull-record%2FWOS:000223329500018","View Full Record in Web of Science")</f>
        <v>View Full Record in Web of Science</v>
      </c>
    </row>
    <row r="439" spans="1:72" x14ac:dyDescent="0.15">
      <c r="A439" t="s">
        <v>122</v>
      </c>
      <c r="B439" t="s">
        <v>6569</v>
      </c>
      <c r="C439" t="s">
        <v>74</v>
      </c>
      <c r="D439" t="s">
        <v>74</v>
      </c>
      <c r="E439" t="s">
        <v>74</v>
      </c>
      <c r="F439" t="s">
        <v>6569</v>
      </c>
      <c r="G439" t="s">
        <v>74</v>
      </c>
      <c r="H439" t="s">
        <v>74</v>
      </c>
      <c r="I439" t="s">
        <v>6570</v>
      </c>
      <c r="J439" t="s">
        <v>6571</v>
      </c>
      <c r="K439" t="s">
        <v>74</v>
      </c>
      <c r="L439" t="s">
        <v>74</v>
      </c>
      <c r="M439" t="s">
        <v>79</v>
      </c>
      <c r="N439" t="s">
        <v>126</v>
      </c>
      <c r="O439" t="s">
        <v>74</v>
      </c>
      <c r="P439" t="s">
        <v>74</v>
      </c>
      <c r="Q439" t="s">
        <v>74</v>
      </c>
      <c r="R439" t="s">
        <v>74</v>
      </c>
      <c r="S439" t="s">
        <v>74</v>
      </c>
      <c r="T439" t="s">
        <v>6572</v>
      </c>
      <c r="U439" t="s">
        <v>6573</v>
      </c>
      <c r="V439" t="s">
        <v>6574</v>
      </c>
      <c r="W439" t="s">
        <v>6575</v>
      </c>
      <c r="X439" t="s">
        <v>748</v>
      </c>
      <c r="Y439" t="s">
        <v>6576</v>
      </c>
      <c r="Z439" t="s">
        <v>6577</v>
      </c>
      <c r="AA439" t="s">
        <v>74</v>
      </c>
      <c r="AB439" t="s">
        <v>6578</v>
      </c>
      <c r="AC439" t="s">
        <v>74</v>
      </c>
      <c r="AD439" t="s">
        <v>74</v>
      </c>
      <c r="AE439" t="s">
        <v>74</v>
      </c>
      <c r="AF439" t="s">
        <v>74</v>
      </c>
      <c r="AG439">
        <v>75</v>
      </c>
      <c r="AH439">
        <v>92</v>
      </c>
      <c r="AI439">
        <v>98</v>
      </c>
      <c r="AJ439">
        <v>0</v>
      </c>
      <c r="AK439">
        <v>25</v>
      </c>
      <c r="AL439" t="s">
        <v>1509</v>
      </c>
      <c r="AM439" t="s">
        <v>613</v>
      </c>
      <c r="AN439" t="s">
        <v>1948</v>
      </c>
      <c r="AO439" t="s">
        <v>6579</v>
      </c>
      <c r="AP439" t="s">
        <v>6580</v>
      </c>
      <c r="AQ439" t="s">
        <v>74</v>
      </c>
      <c r="AR439" t="s">
        <v>6571</v>
      </c>
      <c r="AS439" t="s">
        <v>6581</v>
      </c>
      <c r="AT439" t="s">
        <v>5484</v>
      </c>
      <c r="AU439">
        <v>2004</v>
      </c>
      <c r="AV439">
        <v>141</v>
      </c>
      <c r="AW439">
        <v>1</v>
      </c>
      <c r="AX439" t="s">
        <v>74</v>
      </c>
      <c r="AY439" t="s">
        <v>74</v>
      </c>
      <c r="AZ439" t="s">
        <v>74</v>
      </c>
      <c r="BA439" t="s">
        <v>74</v>
      </c>
      <c r="BB439">
        <v>121</v>
      </c>
      <c r="BC439">
        <v>129</v>
      </c>
      <c r="BD439" t="s">
        <v>74</v>
      </c>
      <c r="BE439" t="s">
        <v>6582</v>
      </c>
      <c r="BF439" t="str">
        <f>HYPERLINK("http://dx.doi.org/10.1007/s00442-004-1648-6","http://dx.doi.org/10.1007/s00442-004-1648-6")</f>
        <v>http://dx.doi.org/10.1007/s00442-004-1648-6</v>
      </c>
      <c r="BG439" t="s">
        <v>74</v>
      </c>
      <c r="BH439" t="s">
        <v>74</v>
      </c>
      <c r="BI439">
        <v>9</v>
      </c>
      <c r="BJ439" t="s">
        <v>3165</v>
      </c>
      <c r="BK439" t="s">
        <v>139</v>
      </c>
      <c r="BL439" t="s">
        <v>1305</v>
      </c>
      <c r="BM439" t="s">
        <v>6583</v>
      </c>
      <c r="BN439">
        <v>15338266</v>
      </c>
      <c r="BO439" t="s">
        <v>74</v>
      </c>
      <c r="BP439" t="s">
        <v>74</v>
      </c>
      <c r="BQ439" t="s">
        <v>74</v>
      </c>
      <c r="BR439" t="s">
        <v>98</v>
      </c>
      <c r="BS439" t="s">
        <v>6584</v>
      </c>
      <c r="BT439" t="str">
        <f>HYPERLINK("https%3A%2F%2Fwww.webofscience.com%2Fwos%2Fwoscc%2Ffull-record%2FWOS:000223560000014","View Full Record in Web of Science")</f>
        <v>View Full Record in Web of Science</v>
      </c>
    </row>
    <row r="440" spans="1:72" x14ac:dyDescent="0.15">
      <c r="A440" t="s">
        <v>122</v>
      </c>
      <c r="B440" t="s">
        <v>6585</v>
      </c>
      <c r="C440" t="s">
        <v>74</v>
      </c>
      <c r="D440" t="s">
        <v>74</v>
      </c>
      <c r="E440" t="s">
        <v>74</v>
      </c>
      <c r="F440" t="s">
        <v>6585</v>
      </c>
      <c r="G440" t="s">
        <v>74</v>
      </c>
      <c r="H440" t="s">
        <v>74</v>
      </c>
      <c r="I440" t="s">
        <v>6586</v>
      </c>
      <c r="J440" t="s">
        <v>6587</v>
      </c>
      <c r="K440" t="s">
        <v>74</v>
      </c>
      <c r="L440" t="s">
        <v>74</v>
      </c>
      <c r="M440" t="s">
        <v>79</v>
      </c>
      <c r="N440" t="s">
        <v>126</v>
      </c>
      <c r="O440" t="s">
        <v>74</v>
      </c>
      <c r="P440" t="s">
        <v>74</v>
      </c>
      <c r="Q440" t="s">
        <v>74</v>
      </c>
      <c r="R440" t="s">
        <v>74</v>
      </c>
      <c r="S440" t="s">
        <v>74</v>
      </c>
      <c r="T440" t="s">
        <v>74</v>
      </c>
      <c r="U440" t="s">
        <v>6588</v>
      </c>
      <c r="V440" t="s">
        <v>6589</v>
      </c>
      <c r="W440" t="s">
        <v>6590</v>
      </c>
      <c r="X440" t="s">
        <v>6591</v>
      </c>
      <c r="Y440" t="s">
        <v>6592</v>
      </c>
      <c r="Z440" t="s">
        <v>6593</v>
      </c>
      <c r="AA440" t="s">
        <v>6594</v>
      </c>
      <c r="AB440" t="s">
        <v>6595</v>
      </c>
      <c r="AC440" t="s">
        <v>74</v>
      </c>
      <c r="AD440" t="s">
        <v>74</v>
      </c>
      <c r="AE440" t="s">
        <v>74</v>
      </c>
      <c r="AF440" t="s">
        <v>74</v>
      </c>
      <c r="AG440">
        <v>53</v>
      </c>
      <c r="AH440">
        <v>30</v>
      </c>
      <c r="AI440">
        <v>31</v>
      </c>
      <c r="AJ440">
        <v>1</v>
      </c>
      <c r="AK440">
        <v>11</v>
      </c>
      <c r="AL440" t="s">
        <v>1418</v>
      </c>
      <c r="AM440" t="s">
        <v>1419</v>
      </c>
      <c r="AN440" t="s">
        <v>1420</v>
      </c>
      <c r="AO440" t="s">
        <v>6596</v>
      </c>
      <c r="AP440" t="s">
        <v>6597</v>
      </c>
      <c r="AQ440" t="s">
        <v>74</v>
      </c>
      <c r="AR440" t="s">
        <v>6587</v>
      </c>
      <c r="AS440" t="s">
        <v>6598</v>
      </c>
      <c r="AT440" t="s">
        <v>5484</v>
      </c>
      <c r="AU440">
        <v>2004</v>
      </c>
      <c r="AV440">
        <v>106</v>
      </c>
      <c r="AW440">
        <v>3</v>
      </c>
      <c r="AX440" t="s">
        <v>74</v>
      </c>
      <c r="AY440" t="s">
        <v>74</v>
      </c>
      <c r="AZ440" t="s">
        <v>74</v>
      </c>
      <c r="BA440" t="s">
        <v>74</v>
      </c>
      <c r="BB440">
        <v>479</v>
      </c>
      <c r="BC440">
        <v>488</v>
      </c>
      <c r="BD440" t="s">
        <v>74</v>
      </c>
      <c r="BE440" t="s">
        <v>6599</v>
      </c>
      <c r="BF440" t="str">
        <f>HYPERLINK("http://dx.doi.org/10.1111/j.0030-1299.2004.13212.x","http://dx.doi.org/10.1111/j.0030-1299.2004.13212.x")</f>
        <v>http://dx.doi.org/10.1111/j.0030-1299.2004.13212.x</v>
      </c>
      <c r="BG440" t="s">
        <v>74</v>
      </c>
      <c r="BH440" t="s">
        <v>74</v>
      </c>
      <c r="BI440">
        <v>10</v>
      </c>
      <c r="BJ440" t="s">
        <v>3165</v>
      </c>
      <c r="BK440" t="s">
        <v>139</v>
      </c>
      <c r="BL440" t="s">
        <v>1305</v>
      </c>
      <c r="BM440" t="s">
        <v>6600</v>
      </c>
      <c r="BN440" t="s">
        <v>74</v>
      </c>
      <c r="BO440" t="s">
        <v>988</v>
      </c>
      <c r="BP440" t="s">
        <v>74</v>
      </c>
      <c r="BQ440" t="s">
        <v>74</v>
      </c>
      <c r="BR440" t="s">
        <v>98</v>
      </c>
      <c r="BS440" t="s">
        <v>6601</v>
      </c>
      <c r="BT440" t="str">
        <f>HYPERLINK("https%3A%2F%2Fwww.webofscience.com%2Fwos%2Fwoscc%2Ffull-record%2FWOS:000222722200006","View Full Record in Web of Science")</f>
        <v>View Full Record in Web of Science</v>
      </c>
    </row>
    <row r="441" spans="1:72" x14ac:dyDescent="0.15">
      <c r="A441" t="s">
        <v>122</v>
      </c>
      <c r="B441" t="s">
        <v>6602</v>
      </c>
      <c r="C441" t="s">
        <v>74</v>
      </c>
      <c r="D441" t="s">
        <v>74</v>
      </c>
      <c r="E441" t="s">
        <v>74</v>
      </c>
      <c r="F441" t="s">
        <v>6602</v>
      </c>
      <c r="G441" t="s">
        <v>74</v>
      </c>
      <c r="H441" t="s">
        <v>74</v>
      </c>
      <c r="I441" t="s">
        <v>6603</v>
      </c>
      <c r="J441" t="s">
        <v>3632</v>
      </c>
      <c r="K441" t="s">
        <v>74</v>
      </c>
      <c r="L441" t="s">
        <v>74</v>
      </c>
      <c r="M441" t="s">
        <v>79</v>
      </c>
      <c r="N441" t="s">
        <v>126</v>
      </c>
      <c r="O441" t="s">
        <v>74</v>
      </c>
      <c r="P441" t="s">
        <v>74</v>
      </c>
      <c r="Q441" t="s">
        <v>74</v>
      </c>
      <c r="R441" t="s">
        <v>74</v>
      </c>
      <c r="S441" t="s">
        <v>74</v>
      </c>
      <c r="T441" t="s">
        <v>74</v>
      </c>
      <c r="U441" t="s">
        <v>6604</v>
      </c>
      <c r="V441" t="s">
        <v>6605</v>
      </c>
      <c r="W441" t="s">
        <v>6606</v>
      </c>
      <c r="X441" t="s">
        <v>6607</v>
      </c>
      <c r="Y441" t="s">
        <v>6608</v>
      </c>
      <c r="Z441" t="s">
        <v>6609</v>
      </c>
      <c r="AA441" t="s">
        <v>74</v>
      </c>
      <c r="AB441" t="s">
        <v>6610</v>
      </c>
      <c r="AC441" t="s">
        <v>74</v>
      </c>
      <c r="AD441" t="s">
        <v>74</v>
      </c>
      <c r="AE441" t="s">
        <v>74</v>
      </c>
      <c r="AF441" t="s">
        <v>74</v>
      </c>
      <c r="AG441">
        <v>96</v>
      </c>
      <c r="AH441">
        <v>17</v>
      </c>
      <c r="AI441">
        <v>17</v>
      </c>
      <c r="AJ441">
        <v>0</v>
      </c>
      <c r="AK441">
        <v>8</v>
      </c>
      <c r="AL441" t="s">
        <v>6611</v>
      </c>
      <c r="AM441" t="s">
        <v>3641</v>
      </c>
      <c r="AN441" t="s">
        <v>6612</v>
      </c>
      <c r="AO441" t="s">
        <v>3643</v>
      </c>
      <c r="AP441" t="s">
        <v>74</v>
      </c>
      <c r="AQ441" t="s">
        <v>74</v>
      </c>
      <c r="AR441" t="s">
        <v>3632</v>
      </c>
      <c r="AS441" t="s">
        <v>3644</v>
      </c>
      <c r="AT441" t="s">
        <v>5484</v>
      </c>
      <c r="AU441">
        <v>2004</v>
      </c>
      <c r="AV441">
        <v>43</v>
      </c>
      <c r="AW441">
        <v>5</v>
      </c>
      <c r="AX441" t="s">
        <v>74</v>
      </c>
      <c r="AY441" t="s">
        <v>74</v>
      </c>
      <c r="AZ441" t="s">
        <v>74</v>
      </c>
      <c r="BA441" t="s">
        <v>74</v>
      </c>
      <c r="BB441">
        <v>579</v>
      </c>
      <c r="BC441">
        <v>595</v>
      </c>
      <c r="BD441" t="s">
        <v>74</v>
      </c>
      <c r="BE441" t="s">
        <v>6613</v>
      </c>
      <c r="BF441" t="str">
        <f>HYPERLINK("http://dx.doi.org/10.2216/i0031-8884-43-5-579.1","http://dx.doi.org/10.2216/i0031-8884-43-5-579.1")</f>
        <v>http://dx.doi.org/10.2216/i0031-8884-43-5-579.1</v>
      </c>
      <c r="BG441" t="s">
        <v>74</v>
      </c>
      <c r="BH441" t="s">
        <v>74</v>
      </c>
      <c r="BI441">
        <v>17</v>
      </c>
      <c r="BJ441" t="s">
        <v>1672</v>
      </c>
      <c r="BK441" t="s">
        <v>139</v>
      </c>
      <c r="BL441" t="s">
        <v>1672</v>
      </c>
      <c r="BM441" t="s">
        <v>6614</v>
      </c>
      <c r="BN441" t="s">
        <v>74</v>
      </c>
      <c r="BO441" t="s">
        <v>74</v>
      </c>
      <c r="BP441" t="s">
        <v>74</v>
      </c>
      <c r="BQ441" t="s">
        <v>74</v>
      </c>
      <c r="BR441" t="s">
        <v>98</v>
      </c>
      <c r="BS441" t="s">
        <v>6615</v>
      </c>
      <c r="BT441" t="str">
        <f>HYPERLINK("https%3A%2F%2Fwww.webofscience.com%2Fwos%2Fwoscc%2Ffull-record%2FWOS:000224368700008","View Full Record in Web of Science")</f>
        <v>View Full Record in Web of Science</v>
      </c>
    </row>
    <row r="442" spans="1:72" x14ac:dyDescent="0.15">
      <c r="A442" t="s">
        <v>122</v>
      </c>
      <c r="B442" t="s">
        <v>6616</v>
      </c>
      <c r="C442" t="s">
        <v>74</v>
      </c>
      <c r="D442" t="s">
        <v>74</v>
      </c>
      <c r="E442" t="s">
        <v>74</v>
      </c>
      <c r="F442" t="s">
        <v>6616</v>
      </c>
      <c r="G442" t="s">
        <v>74</v>
      </c>
      <c r="H442" t="s">
        <v>74</v>
      </c>
      <c r="I442" t="s">
        <v>6617</v>
      </c>
      <c r="J442" t="s">
        <v>6618</v>
      </c>
      <c r="K442" t="s">
        <v>74</v>
      </c>
      <c r="L442" t="s">
        <v>74</v>
      </c>
      <c r="M442" t="s">
        <v>79</v>
      </c>
      <c r="N442" t="s">
        <v>126</v>
      </c>
      <c r="O442" t="s">
        <v>74</v>
      </c>
      <c r="P442" t="s">
        <v>74</v>
      </c>
      <c r="Q442" t="s">
        <v>74</v>
      </c>
      <c r="R442" t="s">
        <v>74</v>
      </c>
      <c r="S442" t="s">
        <v>74</v>
      </c>
      <c r="T442" t="s">
        <v>6619</v>
      </c>
      <c r="U442" t="s">
        <v>6620</v>
      </c>
      <c r="V442" t="s">
        <v>6621</v>
      </c>
      <c r="W442" t="s">
        <v>6622</v>
      </c>
      <c r="X442" t="s">
        <v>5125</v>
      </c>
      <c r="Y442" t="s">
        <v>6623</v>
      </c>
      <c r="Z442" t="s">
        <v>6624</v>
      </c>
      <c r="AA442" t="s">
        <v>74</v>
      </c>
      <c r="AB442" t="s">
        <v>74</v>
      </c>
      <c r="AC442" t="s">
        <v>74</v>
      </c>
      <c r="AD442" t="s">
        <v>74</v>
      </c>
      <c r="AE442" t="s">
        <v>74</v>
      </c>
      <c r="AF442" t="s">
        <v>74</v>
      </c>
      <c r="AG442">
        <v>22</v>
      </c>
      <c r="AH442">
        <v>34</v>
      </c>
      <c r="AI442">
        <v>36</v>
      </c>
      <c r="AJ442">
        <v>0</v>
      </c>
      <c r="AK442">
        <v>16</v>
      </c>
      <c r="AL442" t="s">
        <v>1418</v>
      </c>
      <c r="AM442" t="s">
        <v>1419</v>
      </c>
      <c r="AN442" t="s">
        <v>1420</v>
      </c>
      <c r="AO442" t="s">
        <v>6625</v>
      </c>
      <c r="AP442" t="s">
        <v>6626</v>
      </c>
      <c r="AQ442" t="s">
        <v>74</v>
      </c>
      <c r="AR442" t="s">
        <v>6627</v>
      </c>
      <c r="AS442" t="s">
        <v>6628</v>
      </c>
      <c r="AT442" t="s">
        <v>5484</v>
      </c>
      <c r="AU442">
        <v>2004</v>
      </c>
      <c r="AV442">
        <v>29</v>
      </c>
      <c r="AW442">
        <v>4</v>
      </c>
      <c r="AX442" t="s">
        <v>74</v>
      </c>
      <c r="AY442" t="s">
        <v>74</v>
      </c>
      <c r="AZ442" t="s">
        <v>74</v>
      </c>
      <c r="BA442" t="s">
        <v>74</v>
      </c>
      <c r="BB442">
        <v>363</v>
      </c>
      <c r="BC442">
        <v>371</v>
      </c>
      <c r="BD442" t="s">
        <v>74</v>
      </c>
      <c r="BE442" t="s">
        <v>6629</v>
      </c>
      <c r="BF442" t="str">
        <f>HYPERLINK("http://dx.doi.org/10.1111/j.0307-6962.2004.00398.x","http://dx.doi.org/10.1111/j.0307-6962.2004.00398.x")</f>
        <v>http://dx.doi.org/10.1111/j.0307-6962.2004.00398.x</v>
      </c>
      <c r="BG442" t="s">
        <v>74</v>
      </c>
      <c r="BH442" t="s">
        <v>74</v>
      </c>
      <c r="BI442">
        <v>9</v>
      </c>
      <c r="BJ442" t="s">
        <v>6165</v>
      </c>
      <c r="BK442" t="s">
        <v>139</v>
      </c>
      <c r="BL442" t="s">
        <v>6165</v>
      </c>
      <c r="BM442" t="s">
        <v>6630</v>
      </c>
      <c r="BN442" t="s">
        <v>74</v>
      </c>
      <c r="BO442" t="s">
        <v>74</v>
      </c>
      <c r="BP442" t="s">
        <v>74</v>
      </c>
      <c r="BQ442" t="s">
        <v>74</v>
      </c>
      <c r="BR442" t="s">
        <v>98</v>
      </c>
      <c r="BS442" t="s">
        <v>6631</v>
      </c>
      <c r="BT442" t="str">
        <f>HYPERLINK("https%3A%2F%2Fwww.webofscience.com%2Fwos%2Fwoscc%2Ffull-record%2FWOS:000223365800008","View Full Record in Web of Science")</f>
        <v>View Full Record in Web of Science</v>
      </c>
    </row>
    <row r="443" spans="1:72" x14ac:dyDescent="0.15">
      <c r="A443" t="s">
        <v>122</v>
      </c>
      <c r="B443" t="s">
        <v>6632</v>
      </c>
      <c r="C443" t="s">
        <v>74</v>
      </c>
      <c r="D443" t="s">
        <v>74</v>
      </c>
      <c r="E443" t="s">
        <v>74</v>
      </c>
      <c r="F443" t="s">
        <v>6632</v>
      </c>
      <c r="G443" t="s">
        <v>74</v>
      </c>
      <c r="H443" t="s">
        <v>74</v>
      </c>
      <c r="I443" t="s">
        <v>6633</v>
      </c>
      <c r="J443" t="s">
        <v>1912</v>
      </c>
      <c r="K443" t="s">
        <v>74</v>
      </c>
      <c r="L443" t="s">
        <v>74</v>
      </c>
      <c r="M443" t="s">
        <v>79</v>
      </c>
      <c r="N443" t="s">
        <v>126</v>
      </c>
      <c r="O443" t="s">
        <v>74</v>
      </c>
      <c r="P443" t="s">
        <v>74</v>
      </c>
      <c r="Q443" t="s">
        <v>74</v>
      </c>
      <c r="R443" t="s">
        <v>74</v>
      </c>
      <c r="S443" t="s">
        <v>74</v>
      </c>
      <c r="T443" t="s">
        <v>74</v>
      </c>
      <c r="U443" t="s">
        <v>6634</v>
      </c>
      <c r="V443" t="s">
        <v>6635</v>
      </c>
      <c r="W443" t="s">
        <v>6636</v>
      </c>
      <c r="X443" t="s">
        <v>1786</v>
      </c>
      <c r="Y443" t="s">
        <v>6637</v>
      </c>
      <c r="Z443" t="s">
        <v>6638</v>
      </c>
      <c r="AA443" t="s">
        <v>6639</v>
      </c>
      <c r="AB443" t="s">
        <v>6640</v>
      </c>
      <c r="AC443" t="s">
        <v>74</v>
      </c>
      <c r="AD443" t="s">
        <v>74</v>
      </c>
      <c r="AE443" t="s">
        <v>74</v>
      </c>
      <c r="AF443" t="s">
        <v>74</v>
      </c>
      <c r="AG443">
        <v>19</v>
      </c>
      <c r="AH443">
        <v>13</v>
      </c>
      <c r="AI443">
        <v>20</v>
      </c>
      <c r="AJ443">
        <v>0</v>
      </c>
      <c r="AK443">
        <v>18</v>
      </c>
      <c r="AL443" t="s">
        <v>1509</v>
      </c>
      <c r="AM443" t="s">
        <v>613</v>
      </c>
      <c r="AN443" t="s">
        <v>1821</v>
      </c>
      <c r="AO443" t="s">
        <v>1921</v>
      </c>
      <c r="AP443" t="s">
        <v>1937</v>
      </c>
      <c r="AQ443" t="s">
        <v>74</v>
      </c>
      <c r="AR443" t="s">
        <v>1922</v>
      </c>
      <c r="AS443" t="s">
        <v>1923</v>
      </c>
      <c r="AT443" t="s">
        <v>5484</v>
      </c>
      <c r="AU443">
        <v>2004</v>
      </c>
      <c r="AV443">
        <v>27</v>
      </c>
      <c r="AW443">
        <v>10</v>
      </c>
      <c r="AX443" t="s">
        <v>74</v>
      </c>
      <c r="AY443" t="s">
        <v>74</v>
      </c>
      <c r="AZ443" t="s">
        <v>74</v>
      </c>
      <c r="BA443" t="s">
        <v>74</v>
      </c>
      <c r="BB443">
        <v>573</v>
      </c>
      <c r="BC443">
        <v>578</v>
      </c>
      <c r="BD443" t="s">
        <v>74</v>
      </c>
      <c r="BE443" t="s">
        <v>6641</v>
      </c>
      <c r="BF443" t="str">
        <f>HYPERLINK("http://dx.doi.org/10.1007/s00300-004-0639-8","http://dx.doi.org/10.1007/s00300-004-0639-8")</f>
        <v>http://dx.doi.org/10.1007/s00300-004-0639-8</v>
      </c>
      <c r="BG443" t="s">
        <v>74</v>
      </c>
      <c r="BH443" t="s">
        <v>74</v>
      </c>
      <c r="BI443">
        <v>6</v>
      </c>
      <c r="BJ443" t="s">
        <v>1491</v>
      </c>
      <c r="BK443" t="s">
        <v>139</v>
      </c>
      <c r="BL443" t="s">
        <v>1337</v>
      </c>
      <c r="BM443" t="s">
        <v>6642</v>
      </c>
      <c r="BN443" t="s">
        <v>74</v>
      </c>
      <c r="BO443" t="s">
        <v>74</v>
      </c>
      <c r="BP443" t="s">
        <v>74</v>
      </c>
      <c r="BQ443" t="s">
        <v>74</v>
      </c>
      <c r="BR443" t="s">
        <v>98</v>
      </c>
      <c r="BS443" t="s">
        <v>6643</v>
      </c>
      <c r="BT443" t="str">
        <f>HYPERLINK("https%3A%2F%2Fwww.webofscience.com%2Fwos%2Fwoscc%2Ffull-record%2FWOS:000223560600001","View Full Record in Web of Science")</f>
        <v>View Full Record in Web of Science</v>
      </c>
    </row>
    <row r="444" spans="1:72" x14ac:dyDescent="0.15">
      <c r="A444" t="s">
        <v>122</v>
      </c>
      <c r="B444" t="s">
        <v>6644</v>
      </c>
      <c r="C444" t="s">
        <v>74</v>
      </c>
      <c r="D444" t="s">
        <v>74</v>
      </c>
      <c r="E444" t="s">
        <v>74</v>
      </c>
      <c r="F444" t="s">
        <v>6644</v>
      </c>
      <c r="G444" t="s">
        <v>74</v>
      </c>
      <c r="H444" t="s">
        <v>74</v>
      </c>
      <c r="I444" t="s">
        <v>6645</v>
      </c>
      <c r="J444" t="s">
        <v>1912</v>
      </c>
      <c r="K444" t="s">
        <v>74</v>
      </c>
      <c r="L444" t="s">
        <v>74</v>
      </c>
      <c r="M444" t="s">
        <v>79</v>
      </c>
      <c r="N444" t="s">
        <v>126</v>
      </c>
      <c r="O444" t="s">
        <v>74</v>
      </c>
      <c r="P444" t="s">
        <v>74</v>
      </c>
      <c r="Q444" t="s">
        <v>74</v>
      </c>
      <c r="R444" t="s">
        <v>74</v>
      </c>
      <c r="S444" t="s">
        <v>74</v>
      </c>
      <c r="T444" t="s">
        <v>74</v>
      </c>
      <c r="U444" t="s">
        <v>6646</v>
      </c>
      <c r="V444" t="s">
        <v>6647</v>
      </c>
      <c r="W444" t="s">
        <v>5857</v>
      </c>
      <c r="X444" t="s">
        <v>5858</v>
      </c>
      <c r="Y444" t="s">
        <v>6648</v>
      </c>
      <c r="Z444" t="s">
        <v>6649</v>
      </c>
      <c r="AA444" t="s">
        <v>74</v>
      </c>
      <c r="AB444" t="s">
        <v>74</v>
      </c>
      <c r="AC444" t="s">
        <v>74</v>
      </c>
      <c r="AD444" t="s">
        <v>74</v>
      </c>
      <c r="AE444" t="s">
        <v>74</v>
      </c>
      <c r="AF444" t="s">
        <v>74</v>
      </c>
      <c r="AG444">
        <v>13</v>
      </c>
      <c r="AH444">
        <v>27</v>
      </c>
      <c r="AI444">
        <v>33</v>
      </c>
      <c r="AJ444">
        <v>0</v>
      </c>
      <c r="AK444">
        <v>13</v>
      </c>
      <c r="AL444" t="s">
        <v>1509</v>
      </c>
      <c r="AM444" t="s">
        <v>613</v>
      </c>
      <c r="AN444" t="s">
        <v>1821</v>
      </c>
      <c r="AO444" t="s">
        <v>1921</v>
      </c>
      <c r="AP444" t="s">
        <v>1937</v>
      </c>
      <c r="AQ444" t="s">
        <v>74</v>
      </c>
      <c r="AR444" t="s">
        <v>1922</v>
      </c>
      <c r="AS444" t="s">
        <v>1923</v>
      </c>
      <c r="AT444" t="s">
        <v>5484</v>
      </c>
      <c r="AU444">
        <v>2004</v>
      </c>
      <c r="AV444">
        <v>27</v>
      </c>
      <c r="AW444">
        <v>10</v>
      </c>
      <c r="AX444" t="s">
        <v>74</v>
      </c>
      <c r="AY444" t="s">
        <v>74</v>
      </c>
      <c r="AZ444" t="s">
        <v>74</v>
      </c>
      <c r="BA444" t="s">
        <v>74</v>
      </c>
      <c r="BB444">
        <v>579</v>
      </c>
      <c r="BC444">
        <v>585</v>
      </c>
      <c r="BD444" t="s">
        <v>74</v>
      </c>
      <c r="BE444" t="s">
        <v>6650</v>
      </c>
      <c r="BF444" t="str">
        <f>HYPERLINK("http://dx.doi.org/10.1007/s00300-004-0634-0","http://dx.doi.org/10.1007/s00300-004-0634-0")</f>
        <v>http://dx.doi.org/10.1007/s00300-004-0634-0</v>
      </c>
      <c r="BG444" t="s">
        <v>74</v>
      </c>
      <c r="BH444" t="s">
        <v>74</v>
      </c>
      <c r="BI444">
        <v>7</v>
      </c>
      <c r="BJ444" t="s">
        <v>1491</v>
      </c>
      <c r="BK444" t="s">
        <v>139</v>
      </c>
      <c r="BL444" t="s">
        <v>1337</v>
      </c>
      <c r="BM444" t="s">
        <v>6642</v>
      </c>
      <c r="BN444" t="s">
        <v>74</v>
      </c>
      <c r="BO444" t="s">
        <v>74</v>
      </c>
      <c r="BP444" t="s">
        <v>74</v>
      </c>
      <c r="BQ444" t="s">
        <v>74</v>
      </c>
      <c r="BR444" t="s">
        <v>98</v>
      </c>
      <c r="BS444" t="s">
        <v>6651</v>
      </c>
      <c r="BT444" t="str">
        <f>HYPERLINK("https%3A%2F%2Fwww.webofscience.com%2Fwos%2Fwoscc%2Ffull-record%2FWOS:000223560600002","View Full Record in Web of Science")</f>
        <v>View Full Record in Web of Science</v>
      </c>
    </row>
    <row r="445" spans="1:72" x14ac:dyDescent="0.15">
      <c r="A445" t="s">
        <v>122</v>
      </c>
      <c r="B445" t="s">
        <v>6652</v>
      </c>
      <c r="C445" t="s">
        <v>74</v>
      </c>
      <c r="D445" t="s">
        <v>74</v>
      </c>
      <c r="E445" t="s">
        <v>74</v>
      </c>
      <c r="F445" t="s">
        <v>6652</v>
      </c>
      <c r="G445" t="s">
        <v>74</v>
      </c>
      <c r="H445" t="s">
        <v>74</v>
      </c>
      <c r="I445" t="s">
        <v>6653</v>
      </c>
      <c r="J445" t="s">
        <v>1912</v>
      </c>
      <c r="K445" t="s">
        <v>74</v>
      </c>
      <c r="L445" t="s">
        <v>74</v>
      </c>
      <c r="M445" t="s">
        <v>79</v>
      </c>
      <c r="N445" t="s">
        <v>126</v>
      </c>
      <c r="O445" t="s">
        <v>74</v>
      </c>
      <c r="P445" t="s">
        <v>74</v>
      </c>
      <c r="Q445" t="s">
        <v>74</v>
      </c>
      <c r="R445" t="s">
        <v>74</v>
      </c>
      <c r="S445" t="s">
        <v>74</v>
      </c>
      <c r="T445" t="s">
        <v>74</v>
      </c>
      <c r="U445" t="s">
        <v>6654</v>
      </c>
      <c r="V445" t="s">
        <v>6655</v>
      </c>
      <c r="W445" t="s">
        <v>6656</v>
      </c>
      <c r="X445" t="s">
        <v>6657</v>
      </c>
      <c r="Y445" t="s">
        <v>6658</v>
      </c>
      <c r="Z445" t="s">
        <v>6659</v>
      </c>
      <c r="AA445" t="s">
        <v>6660</v>
      </c>
      <c r="AB445" t="s">
        <v>6661</v>
      </c>
      <c r="AC445" t="s">
        <v>74</v>
      </c>
      <c r="AD445" t="s">
        <v>74</v>
      </c>
      <c r="AE445" t="s">
        <v>74</v>
      </c>
      <c r="AF445" t="s">
        <v>74</v>
      </c>
      <c r="AG445">
        <v>33</v>
      </c>
      <c r="AH445">
        <v>4</v>
      </c>
      <c r="AI445">
        <v>6</v>
      </c>
      <c r="AJ445">
        <v>0</v>
      </c>
      <c r="AK445">
        <v>10</v>
      </c>
      <c r="AL445" t="s">
        <v>1509</v>
      </c>
      <c r="AM445" t="s">
        <v>613</v>
      </c>
      <c r="AN445" t="s">
        <v>1948</v>
      </c>
      <c r="AO445" t="s">
        <v>1921</v>
      </c>
      <c r="AP445" t="s">
        <v>1937</v>
      </c>
      <c r="AQ445" t="s">
        <v>74</v>
      </c>
      <c r="AR445" t="s">
        <v>1922</v>
      </c>
      <c r="AS445" t="s">
        <v>1923</v>
      </c>
      <c r="AT445" t="s">
        <v>5484</v>
      </c>
      <c r="AU445">
        <v>2004</v>
      </c>
      <c r="AV445">
        <v>27</v>
      </c>
      <c r="AW445">
        <v>10</v>
      </c>
      <c r="AX445" t="s">
        <v>74</v>
      </c>
      <c r="AY445" t="s">
        <v>74</v>
      </c>
      <c r="AZ445" t="s">
        <v>74</v>
      </c>
      <c r="BA445" t="s">
        <v>74</v>
      </c>
      <c r="BB445">
        <v>586</v>
      </c>
      <c r="BC445">
        <v>594</v>
      </c>
      <c r="BD445" t="s">
        <v>74</v>
      </c>
      <c r="BE445" t="s">
        <v>6662</v>
      </c>
      <c r="BF445" t="str">
        <f>HYPERLINK("http://dx.doi.org/10.1007/s00300-004-0631-3","http://dx.doi.org/10.1007/s00300-004-0631-3")</f>
        <v>http://dx.doi.org/10.1007/s00300-004-0631-3</v>
      </c>
      <c r="BG445" t="s">
        <v>74</v>
      </c>
      <c r="BH445" t="s">
        <v>74</v>
      </c>
      <c r="BI445">
        <v>9</v>
      </c>
      <c r="BJ445" t="s">
        <v>1491</v>
      </c>
      <c r="BK445" t="s">
        <v>139</v>
      </c>
      <c r="BL445" t="s">
        <v>1337</v>
      </c>
      <c r="BM445" t="s">
        <v>6642</v>
      </c>
      <c r="BN445" t="s">
        <v>74</v>
      </c>
      <c r="BO445" t="s">
        <v>74</v>
      </c>
      <c r="BP445" t="s">
        <v>74</v>
      </c>
      <c r="BQ445" t="s">
        <v>74</v>
      </c>
      <c r="BR445" t="s">
        <v>98</v>
      </c>
      <c r="BS445" t="s">
        <v>6663</v>
      </c>
      <c r="BT445" t="str">
        <f>HYPERLINK("https%3A%2F%2Fwww.webofscience.com%2Fwos%2Fwoscc%2Ffull-record%2FWOS:000223560600003","View Full Record in Web of Science")</f>
        <v>View Full Record in Web of Science</v>
      </c>
    </row>
    <row r="446" spans="1:72" x14ac:dyDescent="0.15">
      <c r="A446" t="s">
        <v>122</v>
      </c>
      <c r="B446" t="s">
        <v>6664</v>
      </c>
      <c r="C446" t="s">
        <v>74</v>
      </c>
      <c r="D446" t="s">
        <v>74</v>
      </c>
      <c r="E446" t="s">
        <v>74</v>
      </c>
      <c r="F446" t="s">
        <v>6664</v>
      </c>
      <c r="G446" t="s">
        <v>74</v>
      </c>
      <c r="H446" t="s">
        <v>74</v>
      </c>
      <c r="I446" t="s">
        <v>6665</v>
      </c>
      <c r="J446" t="s">
        <v>1912</v>
      </c>
      <c r="K446" t="s">
        <v>74</v>
      </c>
      <c r="L446" t="s">
        <v>74</v>
      </c>
      <c r="M446" t="s">
        <v>79</v>
      </c>
      <c r="N446" t="s">
        <v>126</v>
      </c>
      <c r="O446" t="s">
        <v>74</v>
      </c>
      <c r="P446" t="s">
        <v>74</v>
      </c>
      <c r="Q446" t="s">
        <v>74</v>
      </c>
      <c r="R446" t="s">
        <v>74</v>
      </c>
      <c r="S446" t="s">
        <v>74</v>
      </c>
      <c r="T446" t="s">
        <v>74</v>
      </c>
      <c r="U446" t="s">
        <v>6666</v>
      </c>
      <c r="V446" t="s">
        <v>6667</v>
      </c>
      <c r="W446" t="s">
        <v>113</v>
      </c>
      <c r="X446" t="s">
        <v>103</v>
      </c>
      <c r="Y446" t="s">
        <v>6668</v>
      </c>
      <c r="Z446" t="s">
        <v>6669</v>
      </c>
      <c r="AA446" t="s">
        <v>74</v>
      </c>
      <c r="AB446" t="s">
        <v>74</v>
      </c>
      <c r="AC446" t="s">
        <v>74</v>
      </c>
      <c r="AD446" t="s">
        <v>74</v>
      </c>
      <c r="AE446" t="s">
        <v>74</v>
      </c>
      <c r="AF446" t="s">
        <v>74</v>
      </c>
      <c r="AG446">
        <v>60</v>
      </c>
      <c r="AH446">
        <v>16</v>
      </c>
      <c r="AI446">
        <v>16</v>
      </c>
      <c r="AJ446">
        <v>0</v>
      </c>
      <c r="AK446">
        <v>8</v>
      </c>
      <c r="AL446" t="s">
        <v>1509</v>
      </c>
      <c r="AM446" t="s">
        <v>613</v>
      </c>
      <c r="AN446" t="s">
        <v>1821</v>
      </c>
      <c r="AO446" t="s">
        <v>1921</v>
      </c>
      <c r="AP446" t="s">
        <v>1937</v>
      </c>
      <c r="AQ446" t="s">
        <v>74</v>
      </c>
      <c r="AR446" t="s">
        <v>1922</v>
      </c>
      <c r="AS446" t="s">
        <v>1923</v>
      </c>
      <c r="AT446" t="s">
        <v>5484</v>
      </c>
      <c r="AU446">
        <v>2004</v>
      </c>
      <c r="AV446">
        <v>27</v>
      </c>
      <c r="AW446">
        <v>10</v>
      </c>
      <c r="AX446" t="s">
        <v>74</v>
      </c>
      <c r="AY446" t="s">
        <v>74</v>
      </c>
      <c r="AZ446" t="s">
        <v>74</v>
      </c>
      <c r="BA446" t="s">
        <v>74</v>
      </c>
      <c r="BB446">
        <v>604</v>
      </c>
      <c r="BC446">
        <v>612</v>
      </c>
      <c r="BD446" t="s">
        <v>74</v>
      </c>
      <c r="BE446" t="s">
        <v>6670</v>
      </c>
      <c r="BF446" t="str">
        <f>HYPERLINK("http://dx.doi.org/10.1007/s00300-004-0628-y","http://dx.doi.org/10.1007/s00300-004-0628-y")</f>
        <v>http://dx.doi.org/10.1007/s00300-004-0628-y</v>
      </c>
      <c r="BG446" t="s">
        <v>74</v>
      </c>
      <c r="BH446" t="s">
        <v>74</v>
      </c>
      <c r="BI446">
        <v>9</v>
      </c>
      <c r="BJ446" t="s">
        <v>1491</v>
      </c>
      <c r="BK446" t="s">
        <v>139</v>
      </c>
      <c r="BL446" t="s">
        <v>1337</v>
      </c>
      <c r="BM446" t="s">
        <v>6642</v>
      </c>
      <c r="BN446" t="s">
        <v>74</v>
      </c>
      <c r="BO446" t="s">
        <v>74</v>
      </c>
      <c r="BP446" t="s">
        <v>74</v>
      </c>
      <c r="BQ446" t="s">
        <v>74</v>
      </c>
      <c r="BR446" t="s">
        <v>98</v>
      </c>
      <c r="BS446" t="s">
        <v>6671</v>
      </c>
      <c r="BT446" t="str">
        <f>HYPERLINK("https%3A%2F%2Fwww.webofscience.com%2Fwos%2Fwoscc%2Ffull-record%2FWOS:000223560600005","View Full Record in Web of Science")</f>
        <v>View Full Record in Web of Science</v>
      </c>
    </row>
    <row r="447" spans="1:72" x14ac:dyDescent="0.15">
      <c r="A447" t="s">
        <v>122</v>
      </c>
      <c r="B447" t="s">
        <v>6672</v>
      </c>
      <c r="C447" t="s">
        <v>74</v>
      </c>
      <c r="D447" t="s">
        <v>74</v>
      </c>
      <c r="E447" t="s">
        <v>74</v>
      </c>
      <c r="F447" t="s">
        <v>6672</v>
      </c>
      <c r="G447" t="s">
        <v>74</v>
      </c>
      <c r="H447" t="s">
        <v>74</v>
      </c>
      <c r="I447" t="s">
        <v>6673</v>
      </c>
      <c r="J447" t="s">
        <v>1912</v>
      </c>
      <c r="K447" t="s">
        <v>74</v>
      </c>
      <c r="L447" t="s">
        <v>74</v>
      </c>
      <c r="M447" t="s">
        <v>79</v>
      </c>
      <c r="N447" t="s">
        <v>126</v>
      </c>
      <c r="O447" t="s">
        <v>74</v>
      </c>
      <c r="P447" t="s">
        <v>74</v>
      </c>
      <c r="Q447" t="s">
        <v>74</v>
      </c>
      <c r="R447" t="s">
        <v>74</v>
      </c>
      <c r="S447" t="s">
        <v>74</v>
      </c>
      <c r="T447" t="s">
        <v>74</v>
      </c>
      <c r="U447" t="s">
        <v>6674</v>
      </c>
      <c r="V447" t="s">
        <v>6675</v>
      </c>
      <c r="W447" t="s">
        <v>6676</v>
      </c>
      <c r="X447" t="s">
        <v>6677</v>
      </c>
      <c r="Y447" t="s">
        <v>6678</v>
      </c>
      <c r="Z447" t="s">
        <v>6679</v>
      </c>
      <c r="AA447" t="s">
        <v>6680</v>
      </c>
      <c r="AB447" t="s">
        <v>6681</v>
      </c>
      <c r="AC447" t="s">
        <v>74</v>
      </c>
      <c r="AD447" t="s">
        <v>74</v>
      </c>
      <c r="AE447" t="s">
        <v>74</v>
      </c>
      <c r="AF447" t="s">
        <v>74</v>
      </c>
      <c r="AG447">
        <v>44</v>
      </c>
      <c r="AH447">
        <v>22</v>
      </c>
      <c r="AI447">
        <v>24</v>
      </c>
      <c r="AJ447">
        <v>0</v>
      </c>
      <c r="AK447">
        <v>10</v>
      </c>
      <c r="AL447" t="s">
        <v>1509</v>
      </c>
      <c r="AM447" t="s">
        <v>613</v>
      </c>
      <c r="AN447" t="s">
        <v>1821</v>
      </c>
      <c r="AO447" t="s">
        <v>1921</v>
      </c>
      <c r="AP447" t="s">
        <v>1937</v>
      </c>
      <c r="AQ447" t="s">
        <v>74</v>
      </c>
      <c r="AR447" t="s">
        <v>1922</v>
      </c>
      <c r="AS447" t="s">
        <v>1923</v>
      </c>
      <c r="AT447" t="s">
        <v>5484</v>
      </c>
      <c r="AU447">
        <v>2004</v>
      </c>
      <c r="AV447">
        <v>27</v>
      </c>
      <c r="AW447">
        <v>10</v>
      </c>
      <c r="AX447" t="s">
        <v>74</v>
      </c>
      <c r="AY447" t="s">
        <v>74</v>
      </c>
      <c r="AZ447" t="s">
        <v>74</v>
      </c>
      <c r="BA447" t="s">
        <v>74</v>
      </c>
      <c r="BB447">
        <v>613</v>
      </c>
      <c r="BC447">
        <v>622</v>
      </c>
      <c r="BD447" t="s">
        <v>74</v>
      </c>
      <c r="BE447" t="s">
        <v>6682</v>
      </c>
      <c r="BF447" t="str">
        <f>HYPERLINK("http://dx.doi.org/10.1007/s00300-004-0627-z","http://dx.doi.org/10.1007/s00300-004-0627-z")</f>
        <v>http://dx.doi.org/10.1007/s00300-004-0627-z</v>
      </c>
      <c r="BG447" t="s">
        <v>74</v>
      </c>
      <c r="BH447" t="s">
        <v>74</v>
      </c>
      <c r="BI447">
        <v>10</v>
      </c>
      <c r="BJ447" t="s">
        <v>1491</v>
      </c>
      <c r="BK447" t="s">
        <v>139</v>
      </c>
      <c r="BL447" t="s">
        <v>1337</v>
      </c>
      <c r="BM447" t="s">
        <v>6642</v>
      </c>
      <c r="BN447" t="s">
        <v>74</v>
      </c>
      <c r="BO447" t="s">
        <v>74</v>
      </c>
      <c r="BP447" t="s">
        <v>74</v>
      </c>
      <c r="BQ447" t="s">
        <v>74</v>
      </c>
      <c r="BR447" t="s">
        <v>98</v>
      </c>
      <c r="BS447" t="s">
        <v>6683</v>
      </c>
      <c r="BT447" t="str">
        <f>HYPERLINK("https%3A%2F%2Fwww.webofscience.com%2Fwos%2Fwoscc%2Ffull-record%2FWOS:000223560600006","View Full Record in Web of Science")</f>
        <v>View Full Record in Web of Science</v>
      </c>
    </row>
    <row r="448" spans="1:72" x14ac:dyDescent="0.15">
      <c r="A448" t="s">
        <v>122</v>
      </c>
      <c r="B448" t="s">
        <v>6684</v>
      </c>
      <c r="C448" t="s">
        <v>74</v>
      </c>
      <c r="D448" t="s">
        <v>74</v>
      </c>
      <c r="E448" t="s">
        <v>74</v>
      </c>
      <c r="F448" t="s">
        <v>6684</v>
      </c>
      <c r="G448" t="s">
        <v>74</v>
      </c>
      <c r="H448" t="s">
        <v>74</v>
      </c>
      <c r="I448" t="s">
        <v>6685</v>
      </c>
      <c r="J448" t="s">
        <v>1912</v>
      </c>
      <c r="K448" t="s">
        <v>74</v>
      </c>
      <c r="L448" t="s">
        <v>74</v>
      </c>
      <c r="M448" t="s">
        <v>79</v>
      </c>
      <c r="N448" t="s">
        <v>126</v>
      </c>
      <c r="O448" t="s">
        <v>74</v>
      </c>
      <c r="P448" t="s">
        <v>74</v>
      </c>
      <c r="Q448" t="s">
        <v>74</v>
      </c>
      <c r="R448" t="s">
        <v>74</v>
      </c>
      <c r="S448" t="s">
        <v>74</v>
      </c>
      <c r="T448" t="s">
        <v>74</v>
      </c>
      <c r="U448" t="s">
        <v>6686</v>
      </c>
      <c r="V448" t="s">
        <v>6687</v>
      </c>
      <c r="W448" t="s">
        <v>6688</v>
      </c>
      <c r="X448" t="s">
        <v>6689</v>
      </c>
      <c r="Y448" t="s">
        <v>6690</v>
      </c>
      <c r="Z448" t="s">
        <v>6691</v>
      </c>
      <c r="AA448" t="s">
        <v>6692</v>
      </c>
      <c r="AB448" t="s">
        <v>6693</v>
      </c>
      <c r="AC448" t="s">
        <v>74</v>
      </c>
      <c r="AD448" t="s">
        <v>74</v>
      </c>
      <c r="AE448" t="s">
        <v>74</v>
      </c>
      <c r="AF448" t="s">
        <v>74</v>
      </c>
      <c r="AG448">
        <v>25</v>
      </c>
      <c r="AH448">
        <v>10</v>
      </c>
      <c r="AI448">
        <v>13</v>
      </c>
      <c r="AJ448">
        <v>0</v>
      </c>
      <c r="AK448">
        <v>6</v>
      </c>
      <c r="AL448" t="s">
        <v>1509</v>
      </c>
      <c r="AM448" t="s">
        <v>613</v>
      </c>
      <c r="AN448" t="s">
        <v>1821</v>
      </c>
      <c r="AO448" t="s">
        <v>1921</v>
      </c>
      <c r="AP448" t="s">
        <v>1937</v>
      </c>
      <c r="AQ448" t="s">
        <v>74</v>
      </c>
      <c r="AR448" t="s">
        <v>1922</v>
      </c>
      <c r="AS448" t="s">
        <v>1923</v>
      </c>
      <c r="AT448" t="s">
        <v>5484</v>
      </c>
      <c r="AU448">
        <v>2004</v>
      </c>
      <c r="AV448">
        <v>27</v>
      </c>
      <c r="AW448">
        <v>10</v>
      </c>
      <c r="AX448" t="s">
        <v>74</v>
      </c>
      <c r="AY448" t="s">
        <v>74</v>
      </c>
      <c r="AZ448" t="s">
        <v>74</v>
      </c>
      <c r="BA448" t="s">
        <v>74</v>
      </c>
      <c r="BB448">
        <v>623</v>
      </c>
      <c r="BC448">
        <v>628</v>
      </c>
      <c r="BD448" t="s">
        <v>74</v>
      </c>
      <c r="BE448" t="s">
        <v>6694</v>
      </c>
      <c r="BF448" t="str">
        <f>HYPERLINK("http://dx.doi.org/10.1007/s00300-004-0620-6","http://dx.doi.org/10.1007/s00300-004-0620-6")</f>
        <v>http://dx.doi.org/10.1007/s00300-004-0620-6</v>
      </c>
      <c r="BG448" t="s">
        <v>74</v>
      </c>
      <c r="BH448" t="s">
        <v>74</v>
      </c>
      <c r="BI448">
        <v>6</v>
      </c>
      <c r="BJ448" t="s">
        <v>1491</v>
      </c>
      <c r="BK448" t="s">
        <v>139</v>
      </c>
      <c r="BL448" t="s">
        <v>1337</v>
      </c>
      <c r="BM448" t="s">
        <v>6642</v>
      </c>
      <c r="BN448" t="s">
        <v>74</v>
      </c>
      <c r="BO448" t="s">
        <v>74</v>
      </c>
      <c r="BP448" t="s">
        <v>74</v>
      </c>
      <c r="BQ448" t="s">
        <v>74</v>
      </c>
      <c r="BR448" t="s">
        <v>98</v>
      </c>
      <c r="BS448" t="s">
        <v>6695</v>
      </c>
      <c r="BT448" t="str">
        <f>HYPERLINK("https%3A%2F%2Fwww.webofscience.com%2Fwos%2Fwoscc%2Ffull-record%2FWOS:000223560600007","View Full Record in Web of Science")</f>
        <v>View Full Record in Web of Science</v>
      </c>
    </row>
    <row r="449" spans="1:72" x14ac:dyDescent="0.15">
      <c r="A449" t="s">
        <v>122</v>
      </c>
      <c r="B449" t="s">
        <v>6696</v>
      </c>
      <c r="C449" t="s">
        <v>74</v>
      </c>
      <c r="D449" t="s">
        <v>74</v>
      </c>
      <c r="E449" t="s">
        <v>74</v>
      </c>
      <c r="F449" t="s">
        <v>6696</v>
      </c>
      <c r="G449" t="s">
        <v>74</v>
      </c>
      <c r="H449" t="s">
        <v>74</v>
      </c>
      <c r="I449" t="s">
        <v>6697</v>
      </c>
      <c r="J449" t="s">
        <v>1912</v>
      </c>
      <c r="K449" t="s">
        <v>74</v>
      </c>
      <c r="L449" t="s">
        <v>74</v>
      </c>
      <c r="M449" t="s">
        <v>79</v>
      </c>
      <c r="N449" t="s">
        <v>126</v>
      </c>
      <c r="O449" t="s">
        <v>74</v>
      </c>
      <c r="P449" t="s">
        <v>74</v>
      </c>
      <c r="Q449" t="s">
        <v>74</v>
      </c>
      <c r="R449" t="s">
        <v>74</v>
      </c>
      <c r="S449" t="s">
        <v>74</v>
      </c>
      <c r="T449" t="s">
        <v>74</v>
      </c>
      <c r="U449" t="s">
        <v>6698</v>
      </c>
      <c r="V449" t="s">
        <v>6699</v>
      </c>
      <c r="W449" t="s">
        <v>6700</v>
      </c>
      <c r="X449" t="s">
        <v>6701</v>
      </c>
      <c r="Y449" t="s">
        <v>6702</v>
      </c>
      <c r="Z449" t="s">
        <v>1958</v>
      </c>
      <c r="AA449" t="s">
        <v>6703</v>
      </c>
      <c r="AB449" t="s">
        <v>6704</v>
      </c>
      <c r="AC449" t="s">
        <v>74</v>
      </c>
      <c r="AD449" t="s">
        <v>74</v>
      </c>
      <c r="AE449" t="s">
        <v>74</v>
      </c>
      <c r="AF449" t="s">
        <v>74</v>
      </c>
      <c r="AG449">
        <v>51</v>
      </c>
      <c r="AH449">
        <v>9</v>
      </c>
      <c r="AI449">
        <v>10</v>
      </c>
      <c r="AJ449">
        <v>0</v>
      </c>
      <c r="AK449">
        <v>14</v>
      </c>
      <c r="AL449" t="s">
        <v>1509</v>
      </c>
      <c r="AM449" t="s">
        <v>613</v>
      </c>
      <c r="AN449" t="s">
        <v>1948</v>
      </c>
      <c r="AO449" t="s">
        <v>1921</v>
      </c>
      <c r="AP449" t="s">
        <v>1937</v>
      </c>
      <c r="AQ449" t="s">
        <v>74</v>
      </c>
      <c r="AR449" t="s">
        <v>1922</v>
      </c>
      <c r="AS449" t="s">
        <v>1923</v>
      </c>
      <c r="AT449" t="s">
        <v>5484</v>
      </c>
      <c r="AU449">
        <v>2004</v>
      </c>
      <c r="AV449">
        <v>27</v>
      </c>
      <c r="AW449">
        <v>10</v>
      </c>
      <c r="AX449" t="s">
        <v>74</v>
      </c>
      <c r="AY449" t="s">
        <v>74</v>
      </c>
      <c r="AZ449" t="s">
        <v>74</v>
      </c>
      <c r="BA449" t="s">
        <v>74</v>
      </c>
      <c r="BB449">
        <v>629</v>
      </c>
      <c r="BC449">
        <v>635</v>
      </c>
      <c r="BD449" t="s">
        <v>74</v>
      </c>
      <c r="BE449" t="s">
        <v>6705</v>
      </c>
      <c r="BF449" t="str">
        <f>HYPERLINK("http://dx.doi.org/10.1007/s00300-004-0619-z","http://dx.doi.org/10.1007/s00300-004-0619-z")</f>
        <v>http://dx.doi.org/10.1007/s00300-004-0619-z</v>
      </c>
      <c r="BG449" t="s">
        <v>74</v>
      </c>
      <c r="BH449" t="s">
        <v>74</v>
      </c>
      <c r="BI449">
        <v>7</v>
      </c>
      <c r="BJ449" t="s">
        <v>1491</v>
      </c>
      <c r="BK449" t="s">
        <v>139</v>
      </c>
      <c r="BL449" t="s">
        <v>1337</v>
      </c>
      <c r="BM449" t="s">
        <v>6642</v>
      </c>
      <c r="BN449" t="s">
        <v>74</v>
      </c>
      <c r="BO449" t="s">
        <v>74</v>
      </c>
      <c r="BP449" t="s">
        <v>74</v>
      </c>
      <c r="BQ449" t="s">
        <v>74</v>
      </c>
      <c r="BR449" t="s">
        <v>98</v>
      </c>
      <c r="BS449" t="s">
        <v>6706</v>
      </c>
      <c r="BT449" t="str">
        <f>HYPERLINK("https%3A%2F%2Fwww.webofscience.com%2Fwos%2Fwoscc%2Ffull-record%2FWOS:000223560600008","View Full Record in Web of Science")</f>
        <v>View Full Record in Web of Science</v>
      </c>
    </row>
    <row r="450" spans="1:72" x14ac:dyDescent="0.15">
      <c r="A450" t="s">
        <v>122</v>
      </c>
      <c r="B450" t="s">
        <v>6707</v>
      </c>
      <c r="C450" t="s">
        <v>74</v>
      </c>
      <c r="D450" t="s">
        <v>74</v>
      </c>
      <c r="E450" t="s">
        <v>74</v>
      </c>
      <c r="F450" t="s">
        <v>6707</v>
      </c>
      <c r="G450" t="s">
        <v>74</v>
      </c>
      <c r="H450" t="s">
        <v>74</v>
      </c>
      <c r="I450" t="s">
        <v>6708</v>
      </c>
      <c r="J450" t="s">
        <v>6709</v>
      </c>
      <c r="K450" t="s">
        <v>74</v>
      </c>
      <c r="L450" t="s">
        <v>74</v>
      </c>
      <c r="M450" t="s">
        <v>79</v>
      </c>
      <c r="N450" t="s">
        <v>581</v>
      </c>
      <c r="O450" t="s">
        <v>74</v>
      </c>
      <c r="P450" t="s">
        <v>74</v>
      </c>
      <c r="Q450" t="s">
        <v>74</v>
      </c>
      <c r="R450" t="s">
        <v>74</v>
      </c>
      <c r="S450" t="s">
        <v>74</v>
      </c>
      <c r="T450" t="s">
        <v>6710</v>
      </c>
      <c r="U450" t="s">
        <v>6711</v>
      </c>
      <c r="V450" t="s">
        <v>6712</v>
      </c>
      <c r="W450" t="s">
        <v>6713</v>
      </c>
      <c r="X450" t="s">
        <v>6714</v>
      </c>
      <c r="Y450" t="s">
        <v>6715</v>
      </c>
      <c r="Z450" t="s">
        <v>74</v>
      </c>
      <c r="AA450" t="s">
        <v>74</v>
      </c>
      <c r="AB450" t="s">
        <v>74</v>
      </c>
      <c r="AC450" t="s">
        <v>74</v>
      </c>
      <c r="AD450" t="s">
        <v>74</v>
      </c>
      <c r="AE450" t="s">
        <v>74</v>
      </c>
      <c r="AF450" t="s">
        <v>74</v>
      </c>
      <c r="AG450">
        <v>116</v>
      </c>
      <c r="AH450">
        <v>36</v>
      </c>
      <c r="AI450">
        <v>42</v>
      </c>
      <c r="AJ450">
        <v>5</v>
      </c>
      <c r="AK450">
        <v>59</v>
      </c>
      <c r="AL450" t="s">
        <v>6716</v>
      </c>
      <c r="AM450" t="s">
        <v>2076</v>
      </c>
      <c r="AN450" t="s">
        <v>6717</v>
      </c>
      <c r="AO450" t="s">
        <v>6718</v>
      </c>
      <c r="AP450" t="s">
        <v>6719</v>
      </c>
      <c r="AQ450" t="s">
        <v>74</v>
      </c>
      <c r="AR450" t="s">
        <v>6720</v>
      </c>
      <c r="AS450" t="s">
        <v>6721</v>
      </c>
      <c r="AT450" t="s">
        <v>5484</v>
      </c>
      <c r="AU450">
        <v>2004</v>
      </c>
      <c r="AV450">
        <v>80</v>
      </c>
      <c r="AW450">
        <v>7</v>
      </c>
      <c r="AX450" t="s">
        <v>74</v>
      </c>
      <c r="AY450" t="s">
        <v>74</v>
      </c>
      <c r="AZ450" t="s">
        <v>74</v>
      </c>
      <c r="BA450" t="s">
        <v>74</v>
      </c>
      <c r="BB450">
        <v>297</v>
      </c>
      <c r="BC450">
        <v>316</v>
      </c>
      <c r="BD450" t="s">
        <v>74</v>
      </c>
      <c r="BE450" t="s">
        <v>6722</v>
      </c>
      <c r="BF450" t="str">
        <f>HYPERLINK("http://dx.doi.org/10.2183/pjab.80.297","http://dx.doi.org/10.2183/pjab.80.297")</f>
        <v>http://dx.doi.org/10.2183/pjab.80.297</v>
      </c>
      <c r="BG450" t="s">
        <v>74</v>
      </c>
      <c r="BH450" t="s">
        <v>74</v>
      </c>
      <c r="BI450">
        <v>20</v>
      </c>
      <c r="BJ450" t="s">
        <v>381</v>
      </c>
      <c r="BK450" t="s">
        <v>139</v>
      </c>
      <c r="BL450" t="s">
        <v>382</v>
      </c>
      <c r="BM450" t="s">
        <v>6723</v>
      </c>
      <c r="BN450" t="s">
        <v>74</v>
      </c>
      <c r="BO450" t="s">
        <v>2469</v>
      </c>
      <c r="BP450" t="s">
        <v>74</v>
      </c>
      <c r="BQ450" t="s">
        <v>74</v>
      </c>
      <c r="BR450" t="s">
        <v>98</v>
      </c>
      <c r="BS450" t="s">
        <v>6724</v>
      </c>
      <c r="BT450" t="str">
        <f>HYPERLINK("https%3A%2F%2Fwww.webofscience.com%2Fwos%2Fwoscc%2Ffull-record%2FWOS:000224536700001","View Full Record in Web of Science")</f>
        <v>View Full Record in Web of Science</v>
      </c>
    </row>
    <row r="451" spans="1:72" x14ac:dyDescent="0.15">
      <c r="A451" t="s">
        <v>122</v>
      </c>
      <c r="B451" t="s">
        <v>6725</v>
      </c>
      <c r="C451" t="s">
        <v>74</v>
      </c>
      <c r="D451" t="s">
        <v>74</v>
      </c>
      <c r="E451" t="s">
        <v>74</v>
      </c>
      <c r="F451" t="s">
        <v>6725</v>
      </c>
      <c r="G451" t="s">
        <v>74</v>
      </c>
      <c r="H451" t="s">
        <v>74</v>
      </c>
      <c r="I451" t="s">
        <v>6726</v>
      </c>
      <c r="J451" t="s">
        <v>6727</v>
      </c>
      <c r="K451" t="s">
        <v>74</v>
      </c>
      <c r="L451" t="s">
        <v>74</v>
      </c>
      <c r="M451" t="s">
        <v>79</v>
      </c>
      <c r="N451" t="s">
        <v>126</v>
      </c>
      <c r="O451" t="s">
        <v>74</v>
      </c>
      <c r="P451" t="s">
        <v>74</v>
      </c>
      <c r="Q451" t="s">
        <v>74</v>
      </c>
      <c r="R451" t="s">
        <v>74</v>
      </c>
      <c r="S451" t="s">
        <v>74</v>
      </c>
      <c r="T451" t="s">
        <v>6728</v>
      </c>
      <c r="U451" t="s">
        <v>6729</v>
      </c>
      <c r="V451" t="s">
        <v>6730</v>
      </c>
      <c r="W451" t="s">
        <v>4936</v>
      </c>
      <c r="X451" t="s">
        <v>4937</v>
      </c>
      <c r="Y451" t="s">
        <v>6731</v>
      </c>
      <c r="Z451" t="s">
        <v>4939</v>
      </c>
      <c r="AA451" t="s">
        <v>74</v>
      </c>
      <c r="AB451" t="s">
        <v>74</v>
      </c>
      <c r="AC451" t="s">
        <v>74</v>
      </c>
      <c r="AD451" t="s">
        <v>74</v>
      </c>
      <c r="AE451" t="s">
        <v>74</v>
      </c>
      <c r="AF451" t="s">
        <v>74</v>
      </c>
      <c r="AG451">
        <v>35</v>
      </c>
      <c r="AH451">
        <v>13</v>
      </c>
      <c r="AI451">
        <v>15</v>
      </c>
      <c r="AJ451">
        <v>1</v>
      </c>
      <c r="AK451">
        <v>8</v>
      </c>
      <c r="AL451" t="s">
        <v>612</v>
      </c>
      <c r="AM451" t="s">
        <v>613</v>
      </c>
      <c r="AN451" t="s">
        <v>614</v>
      </c>
      <c r="AO451" t="s">
        <v>6732</v>
      </c>
      <c r="AP451" t="s">
        <v>6733</v>
      </c>
      <c r="AQ451" t="s">
        <v>74</v>
      </c>
      <c r="AR451" t="s">
        <v>6734</v>
      </c>
      <c r="AS451" t="s">
        <v>6735</v>
      </c>
      <c r="AT451" t="s">
        <v>5484</v>
      </c>
      <c r="AU451">
        <v>2004</v>
      </c>
      <c r="AV451">
        <v>14</v>
      </c>
      <c r="AW451">
        <v>9</v>
      </c>
      <c r="AX451" t="s">
        <v>74</v>
      </c>
      <c r="AY451" t="s">
        <v>74</v>
      </c>
      <c r="AZ451" t="s">
        <v>74</v>
      </c>
      <c r="BA451" t="s">
        <v>74</v>
      </c>
      <c r="BB451">
        <v>786</v>
      </c>
      <c r="BC451">
        <v>792</v>
      </c>
      <c r="BD451" t="s">
        <v>74</v>
      </c>
      <c r="BE451" t="s">
        <v>6736</v>
      </c>
      <c r="BF451" t="str">
        <f>HYPERLINK("http://dx.doi.org/10.1080/10020070412331344331","http://dx.doi.org/10.1080/10020070412331344331")</f>
        <v>http://dx.doi.org/10.1080/10020070412331344331</v>
      </c>
      <c r="BG451" t="s">
        <v>74</v>
      </c>
      <c r="BH451" t="s">
        <v>74</v>
      </c>
      <c r="BI451">
        <v>7</v>
      </c>
      <c r="BJ451" t="s">
        <v>6737</v>
      </c>
      <c r="BK451" t="s">
        <v>139</v>
      </c>
      <c r="BL451" t="s">
        <v>6738</v>
      </c>
      <c r="BM451" t="s">
        <v>6739</v>
      </c>
      <c r="BN451" t="s">
        <v>74</v>
      </c>
      <c r="BO451" t="s">
        <v>74</v>
      </c>
      <c r="BP451" t="s">
        <v>74</v>
      </c>
      <c r="BQ451" t="s">
        <v>74</v>
      </c>
      <c r="BR451" t="s">
        <v>98</v>
      </c>
      <c r="BS451" t="s">
        <v>6740</v>
      </c>
      <c r="BT451" t="str">
        <f>HYPERLINK("https%3A%2F%2Fwww.webofscience.com%2Fwos%2Fwoscc%2Ffull-record%2FWOS:000224688200008","View Full Record in Web of Science")</f>
        <v>View Full Record in Web of Science</v>
      </c>
    </row>
    <row r="452" spans="1:72" x14ac:dyDescent="0.15">
      <c r="A452" t="s">
        <v>122</v>
      </c>
      <c r="B452" t="s">
        <v>6741</v>
      </c>
      <c r="C452" t="s">
        <v>74</v>
      </c>
      <c r="D452" t="s">
        <v>74</v>
      </c>
      <c r="E452" t="s">
        <v>74</v>
      </c>
      <c r="F452" t="s">
        <v>6741</v>
      </c>
      <c r="G452" t="s">
        <v>74</v>
      </c>
      <c r="H452" t="s">
        <v>74</v>
      </c>
      <c r="I452" t="s">
        <v>6742</v>
      </c>
      <c r="J452" t="s">
        <v>6743</v>
      </c>
      <c r="K452" t="s">
        <v>74</v>
      </c>
      <c r="L452" t="s">
        <v>74</v>
      </c>
      <c r="M452" t="s">
        <v>79</v>
      </c>
      <c r="N452" t="s">
        <v>126</v>
      </c>
      <c r="O452" t="s">
        <v>74</v>
      </c>
      <c r="P452" t="s">
        <v>74</v>
      </c>
      <c r="Q452" t="s">
        <v>74</v>
      </c>
      <c r="R452" t="s">
        <v>74</v>
      </c>
      <c r="S452" t="s">
        <v>74</v>
      </c>
      <c r="T452" t="s">
        <v>6744</v>
      </c>
      <c r="U452" t="s">
        <v>6745</v>
      </c>
      <c r="V452" t="s">
        <v>6746</v>
      </c>
      <c r="W452" t="s">
        <v>6747</v>
      </c>
      <c r="X452" t="s">
        <v>6748</v>
      </c>
      <c r="Y452" t="s">
        <v>6749</v>
      </c>
      <c r="Z452" t="s">
        <v>6750</v>
      </c>
      <c r="AA452" t="s">
        <v>6751</v>
      </c>
      <c r="AB452" t="s">
        <v>6752</v>
      </c>
      <c r="AC452" t="s">
        <v>74</v>
      </c>
      <c r="AD452" t="s">
        <v>74</v>
      </c>
      <c r="AE452" t="s">
        <v>74</v>
      </c>
      <c r="AF452" t="s">
        <v>74</v>
      </c>
      <c r="AG452">
        <v>63</v>
      </c>
      <c r="AH452">
        <v>13</v>
      </c>
      <c r="AI452">
        <v>14</v>
      </c>
      <c r="AJ452">
        <v>0</v>
      </c>
      <c r="AK452">
        <v>8</v>
      </c>
      <c r="AL452" t="s">
        <v>6753</v>
      </c>
      <c r="AM452" t="s">
        <v>6754</v>
      </c>
      <c r="AN452" t="s">
        <v>6755</v>
      </c>
      <c r="AO452" t="s">
        <v>6756</v>
      </c>
      <c r="AP452" t="s">
        <v>6757</v>
      </c>
      <c r="AQ452" t="s">
        <v>74</v>
      </c>
      <c r="AR452" t="s">
        <v>6758</v>
      </c>
      <c r="AS452" t="s">
        <v>6759</v>
      </c>
      <c r="AT452" t="s">
        <v>5484</v>
      </c>
      <c r="AU452">
        <v>2004</v>
      </c>
      <c r="AV452">
        <v>68</v>
      </c>
      <c r="AW452">
        <v>3</v>
      </c>
      <c r="AX452" t="s">
        <v>74</v>
      </c>
      <c r="AY452" t="s">
        <v>74</v>
      </c>
      <c r="AZ452" t="s">
        <v>74</v>
      </c>
      <c r="BA452" t="s">
        <v>74</v>
      </c>
      <c r="BB452">
        <v>419</v>
      </c>
      <c r="BC452">
        <v>424</v>
      </c>
      <c r="BD452" t="s">
        <v>74</v>
      </c>
      <c r="BE452" t="s">
        <v>6760</v>
      </c>
      <c r="BF452" t="str">
        <f>HYPERLINK("http://dx.doi.org/10.3989/scimar.2004.68n3419","http://dx.doi.org/10.3989/scimar.2004.68n3419")</f>
        <v>http://dx.doi.org/10.3989/scimar.2004.68n3419</v>
      </c>
      <c r="BG452" t="s">
        <v>74</v>
      </c>
      <c r="BH452" t="s">
        <v>74</v>
      </c>
      <c r="BI452">
        <v>6</v>
      </c>
      <c r="BJ452" t="s">
        <v>1763</v>
      </c>
      <c r="BK452" t="s">
        <v>139</v>
      </c>
      <c r="BL452" t="s">
        <v>1763</v>
      </c>
      <c r="BM452" t="s">
        <v>6761</v>
      </c>
      <c r="BN452" t="s">
        <v>74</v>
      </c>
      <c r="BO452" t="s">
        <v>2018</v>
      </c>
      <c r="BP452" t="s">
        <v>74</v>
      </c>
      <c r="BQ452" t="s">
        <v>74</v>
      </c>
      <c r="BR452" t="s">
        <v>98</v>
      </c>
      <c r="BS452" t="s">
        <v>6762</v>
      </c>
      <c r="BT452" t="str">
        <f>HYPERLINK("https%3A%2F%2Fwww.webofscience.com%2Fwos%2Fwoscc%2Ffull-record%2FWOS:000224186000010","View Full Record in Web of Science")</f>
        <v>View Full Record in Web of Science</v>
      </c>
    </row>
    <row r="453" spans="1:72" x14ac:dyDescent="0.15">
      <c r="A453" t="s">
        <v>122</v>
      </c>
      <c r="B453" t="s">
        <v>6763</v>
      </c>
      <c r="C453" t="s">
        <v>74</v>
      </c>
      <c r="D453" t="s">
        <v>74</v>
      </c>
      <c r="E453" t="s">
        <v>74</v>
      </c>
      <c r="F453" t="s">
        <v>6763</v>
      </c>
      <c r="G453" t="s">
        <v>74</v>
      </c>
      <c r="H453" t="s">
        <v>74</v>
      </c>
      <c r="I453" t="s">
        <v>6764</v>
      </c>
      <c r="J453" t="s">
        <v>6765</v>
      </c>
      <c r="K453" t="s">
        <v>74</v>
      </c>
      <c r="L453" t="s">
        <v>74</v>
      </c>
      <c r="M453" t="s">
        <v>79</v>
      </c>
      <c r="N453" t="s">
        <v>126</v>
      </c>
      <c r="O453" t="s">
        <v>74</v>
      </c>
      <c r="P453" t="s">
        <v>74</v>
      </c>
      <c r="Q453" t="s">
        <v>74</v>
      </c>
      <c r="R453" t="s">
        <v>74</v>
      </c>
      <c r="S453" t="s">
        <v>74</v>
      </c>
      <c r="T453" t="s">
        <v>74</v>
      </c>
      <c r="U453" t="s">
        <v>74</v>
      </c>
      <c r="V453" t="s">
        <v>74</v>
      </c>
      <c r="W453" t="s">
        <v>6766</v>
      </c>
      <c r="X453" t="s">
        <v>6767</v>
      </c>
      <c r="Y453" t="s">
        <v>6768</v>
      </c>
      <c r="Z453" t="s">
        <v>74</v>
      </c>
      <c r="AA453" t="s">
        <v>6769</v>
      </c>
      <c r="AB453" t="s">
        <v>6770</v>
      </c>
      <c r="AC453" t="s">
        <v>74</v>
      </c>
      <c r="AD453" t="s">
        <v>74</v>
      </c>
      <c r="AE453" t="s">
        <v>74</v>
      </c>
      <c r="AF453" t="s">
        <v>74</v>
      </c>
      <c r="AG453">
        <v>0</v>
      </c>
      <c r="AH453">
        <v>0</v>
      </c>
      <c r="AI453">
        <v>0</v>
      </c>
      <c r="AJ453">
        <v>0</v>
      </c>
      <c r="AK453">
        <v>0</v>
      </c>
      <c r="AL453" t="s">
        <v>6771</v>
      </c>
      <c r="AM453" t="s">
        <v>6772</v>
      </c>
      <c r="AN453" t="s">
        <v>6773</v>
      </c>
      <c r="AO453" t="s">
        <v>6774</v>
      </c>
      <c r="AP453" t="s">
        <v>74</v>
      </c>
      <c r="AQ453" t="s">
        <v>74</v>
      </c>
      <c r="AR453" t="s">
        <v>6775</v>
      </c>
      <c r="AS453" t="s">
        <v>6776</v>
      </c>
      <c r="AT453" t="s">
        <v>5484</v>
      </c>
      <c r="AU453">
        <v>2004</v>
      </c>
      <c r="AV453">
        <v>45</v>
      </c>
      <c r="AW453">
        <v>9</v>
      </c>
      <c r="AX453" t="s">
        <v>74</v>
      </c>
      <c r="AY453" t="s">
        <v>74</v>
      </c>
      <c r="AZ453" t="s">
        <v>74</v>
      </c>
      <c r="BA453" t="s">
        <v>74</v>
      </c>
      <c r="BB453">
        <v>46</v>
      </c>
      <c r="BC453">
        <v>51</v>
      </c>
      <c r="BD453" t="s">
        <v>74</v>
      </c>
      <c r="BE453" t="s">
        <v>74</v>
      </c>
      <c r="BF453" t="s">
        <v>74</v>
      </c>
      <c r="BG453" t="s">
        <v>74</v>
      </c>
      <c r="BH453" t="s">
        <v>74</v>
      </c>
      <c r="BI453">
        <v>6</v>
      </c>
      <c r="BJ453" t="s">
        <v>6777</v>
      </c>
      <c r="BK453" t="s">
        <v>139</v>
      </c>
      <c r="BL453" t="s">
        <v>2036</v>
      </c>
      <c r="BM453" t="s">
        <v>6778</v>
      </c>
      <c r="BN453" t="s">
        <v>74</v>
      </c>
      <c r="BO453" t="s">
        <v>74</v>
      </c>
      <c r="BP453" t="s">
        <v>74</v>
      </c>
      <c r="BQ453" t="s">
        <v>74</v>
      </c>
      <c r="BR453" t="s">
        <v>98</v>
      </c>
      <c r="BS453" t="s">
        <v>6779</v>
      </c>
      <c r="BT453" t="str">
        <f>HYPERLINK("https%3A%2F%2Fwww.webofscience.com%2Fwos%2Fwoscc%2Ffull-record%2FWOS:000224050700009","View Full Record in Web of Science")</f>
        <v>View Full Record in Web of Science</v>
      </c>
    </row>
    <row r="454" spans="1:72" x14ac:dyDescent="0.15">
      <c r="A454" t="s">
        <v>122</v>
      </c>
      <c r="B454" t="s">
        <v>6780</v>
      </c>
      <c r="C454" t="s">
        <v>74</v>
      </c>
      <c r="D454" t="s">
        <v>74</v>
      </c>
      <c r="E454" t="s">
        <v>74</v>
      </c>
      <c r="F454" t="s">
        <v>6780</v>
      </c>
      <c r="G454" t="s">
        <v>74</v>
      </c>
      <c r="H454" t="s">
        <v>74</v>
      </c>
      <c r="I454" t="s">
        <v>6781</v>
      </c>
      <c r="J454" t="s">
        <v>6782</v>
      </c>
      <c r="K454" t="s">
        <v>74</v>
      </c>
      <c r="L454" t="s">
        <v>74</v>
      </c>
      <c r="M454" t="s">
        <v>79</v>
      </c>
      <c r="N454" t="s">
        <v>126</v>
      </c>
      <c r="O454" t="s">
        <v>74</v>
      </c>
      <c r="P454" t="s">
        <v>74</v>
      </c>
      <c r="Q454" t="s">
        <v>74</v>
      </c>
      <c r="R454" t="s">
        <v>74</v>
      </c>
      <c r="S454" t="s">
        <v>74</v>
      </c>
      <c r="T454" t="s">
        <v>74</v>
      </c>
      <c r="U454" t="s">
        <v>6783</v>
      </c>
      <c r="V454" t="s">
        <v>6784</v>
      </c>
      <c r="W454" t="s">
        <v>6785</v>
      </c>
      <c r="X454" t="s">
        <v>6786</v>
      </c>
      <c r="Y454" t="s">
        <v>6787</v>
      </c>
      <c r="Z454" t="s">
        <v>74</v>
      </c>
      <c r="AA454" t="s">
        <v>74</v>
      </c>
      <c r="AB454" t="s">
        <v>74</v>
      </c>
      <c r="AC454" t="s">
        <v>74</v>
      </c>
      <c r="AD454" t="s">
        <v>74</v>
      </c>
      <c r="AE454" t="s">
        <v>74</v>
      </c>
      <c r="AF454" t="s">
        <v>74</v>
      </c>
      <c r="AG454">
        <v>29</v>
      </c>
      <c r="AH454">
        <v>3</v>
      </c>
      <c r="AI454">
        <v>3</v>
      </c>
      <c r="AJ454">
        <v>0</v>
      </c>
      <c r="AK454">
        <v>6</v>
      </c>
      <c r="AL454" t="s">
        <v>6788</v>
      </c>
      <c r="AM454" t="s">
        <v>613</v>
      </c>
      <c r="AN454" t="s">
        <v>6789</v>
      </c>
      <c r="AO454" t="s">
        <v>6790</v>
      </c>
      <c r="AP454" t="s">
        <v>74</v>
      </c>
      <c r="AQ454" t="s">
        <v>74</v>
      </c>
      <c r="AR454" t="s">
        <v>6791</v>
      </c>
      <c r="AS454" t="s">
        <v>6792</v>
      </c>
      <c r="AT454" t="s">
        <v>5882</v>
      </c>
      <c r="AU454">
        <v>2004</v>
      </c>
      <c r="AV454">
        <v>38</v>
      </c>
      <c r="AW454">
        <v>5</v>
      </c>
      <c r="AX454" t="s">
        <v>74</v>
      </c>
      <c r="AY454" t="s">
        <v>74</v>
      </c>
      <c r="AZ454" t="s">
        <v>74</v>
      </c>
      <c r="BA454" t="s">
        <v>74</v>
      </c>
      <c r="BB454">
        <v>383</v>
      </c>
      <c r="BC454">
        <v>393</v>
      </c>
      <c r="BD454" t="s">
        <v>74</v>
      </c>
      <c r="BE454" t="s">
        <v>6793</v>
      </c>
      <c r="BF454" t="str">
        <f>HYPERLINK("http://dx.doi.org/10.1023/B:SOLS.0000043814.61956.4c","http://dx.doi.org/10.1023/B:SOLS.0000043814.61956.4c")</f>
        <v>http://dx.doi.org/10.1023/B:SOLS.0000043814.61956.4c</v>
      </c>
      <c r="BG454" t="s">
        <v>74</v>
      </c>
      <c r="BH454" t="s">
        <v>74</v>
      </c>
      <c r="BI454">
        <v>11</v>
      </c>
      <c r="BJ454" t="s">
        <v>491</v>
      </c>
      <c r="BK454" t="s">
        <v>139</v>
      </c>
      <c r="BL454" t="s">
        <v>491</v>
      </c>
      <c r="BM454" t="s">
        <v>6794</v>
      </c>
      <c r="BN454" t="s">
        <v>74</v>
      </c>
      <c r="BO454" t="s">
        <v>74</v>
      </c>
      <c r="BP454" t="s">
        <v>74</v>
      </c>
      <c r="BQ454" t="s">
        <v>74</v>
      </c>
      <c r="BR454" t="s">
        <v>98</v>
      </c>
      <c r="BS454" t="s">
        <v>6795</v>
      </c>
      <c r="BT454" t="str">
        <f>HYPERLINK("https%3A%2F%2Fwww.webofscience.com%2Fwos%2Fwoscc%2Ffull-record%2FWOS:000224791600005","View Full Record in Web of Science")</f>
        <v>View Full Record in Web of Science</v>
      </c>
    </row>
    <row r="455" spans="1:72" x14ac:dyDescent="0.15">
      <c r="A455" t="s">
        <v>122</v>
      </c>
      <c r="B455" t="s">
        <v>6796</v>
      </c>
      <c r="C455" t="s">
        <v>74</v>
      </c>
      <c r="D455" t="s">
        <v>74</v>
      </c>
      <c r="E455" t="s">
        <v>74</v>
      </c>
      <c r="F455" t="s">
        <v>6796</v>
      </c>
      <c r="G455" t="s">
        <v>74</v>
      </c>
      <c r="H455" t="s">
        <v>74</v>
      </c>
      <c r="I455" t="s">
        <v>6797</v>
      </c>
      <c r="J455" t="s">
        <v>6798</v>
      </c>
      <c r="K455" t="s">
        <v>74</v>
      </c>
      <c r="L455" t="s">
        <v>74</v>
      </c>
      <c r="M455" t="s">
        <v>79</v>
      </c>
      <c r="N455" t="s">
        <v>126</v>
      </c>
      <c r="O455" t="s">
        <v>74</v>
      </c>
      <c r="P455" t="s">
        <v>74</v>
      </c>
      <c r="Q455" t="s">
        <v>74</v>
      </c>
      <c r="R455" t="s">
        <v>74</v>
      </c>
      <c r="S455" t="s">
        <v>74</v>
      </c>
      <c r="T455" t="s">
        <v>74</v>
      </c>
      <c r="U455" t="s">
        <v>74</v>
      </c>
      <c r="V455" t="s">
        <v>6799</v>
      </c>
      <c r="W455" t="s">
        <v>1346</v>
      </c>
      <c r="X455" t="s">
        <v>1347</v>
      </c>
      <c r="Y455" t="s">
        <v>6800</v>
      </c>
      <c r="Z455" t="s">
        <v>74</v>
      </c>
      <c r="AA455" t="s">
        <v>1350</v>
      </c>
      <c r="AB455" t="s">
        <v>1351</v>
      </c>
      <c r="AC455" t="s">
        <v>74</v>
      </c>
      <c r="AD455" t="s">
        <v>74</v>
      </c>
      <c r="AE455" t="s">
        <v>74</v>
      </c>
      <c r="AF455" t="s">
        <v>74</v>
      </c>
      <c r="AG455">
        <v>19</v>
      </c>
      <c r="AH455">
        <v>4</v>
      </c>
      <c r="AI455">
        <v>8</v>
      </c>
      <c r="AJ455">
        <v>1</v>
      </c>
      <c r="AK455">
        <v>5</v>
      </c>
      <c r="AL455" t="s">
        <v>1509</v>
      </c>
      <c r="AM455" t="s">
        <v>1510</v>
      </c>
      <c r="AN455" t="s">
        <v>1511</v>
      </c>
      <c r="AO455" t="s">
        <v>6801</v>
      </c>
      <c r="AP455" t="s">
        <v>6802</v>
      </c>
      <c r="AQ455" t="s">
        <v>74</v>
      </c>
      <c r="AR455" t="s">
        <v>6803</v>
      </c>
      <c r="AS455" t="s">
        <v>6804</v>
      </c>
      <c r="AT455" t="s">
        <v>5484</v>
      </c>
      <c r="AU455">
        <v>2004</v>
      </c>
      <c r="AV455">
        <v>59</v>
      </c>
      <c r="AW455">
        <v>1</v>
      </c>
      <c r="AX455" t="s">
        <v>74</v>
      </c>
      <c r="AY455" t="s">
        <v>74</v>
      </c>
      <c r="AZ455" t="s">
        <v>74</v>
      </c>
      <c r="BA455" t="s">
        <v>74</v>
      </c>
      <c r="BB455">
        <v>39</v>
      </c>
      <c r="BC455">
        <v>44</v>
      </c>
      <c r="BD455" t="s">
        <v>74</v>
      </c>
      <c r="BE455" t="s">
        <v>6805</v>
      </c>
      <c r="BF455" t="str">
        <f>HYPERLINK("http://dx.doi.org/10.1023/B:SYPA.0000038443.88348.0b","http://dx.doi.org/10.1023/B:SYPA.0000038443.88348.0b")</f>
        <v>http://dx.doi.org/10.1023/B:SYPA.0000038443.88348.0b</v>
      </c>
      <c r="BG455" t="s">
        <v>74</v>
      </c>
      <c r="BH455" t="s">
        <v>74</v>
      </c>
      <c r="BI455">
        <v>6</v>
      </c>
      <c r="BJ455" t="s">
        <v>6806</v>
      </c>
      <c r="BK455" t="s">
        <v>139</v>
      </c>
      <c r="BL455" t="s">
        <v>6806</v>
      </c>
      <c r="BM455" t="s">
        <v>6807</v>
      </c>
      <c r="BN455">
        <v>15318019</v>
      </c>
      <c r="BO455" t="s">
        <v>74</v>
      </c>
      <c r="BP455" t="s">
        <v>74</v>
      </c>
      <c r="BQ455" t="s">
        <v>74</v>
      </c>
      <c r="BR455" t="s">
        <v>98</v>
      </c>
      <c r="BS455" t="s">
        <v>6808</v>
      </c>
      <c r="BT455" t="str">
        <f>HYPERLINK("https%3A%2F%2Fwww.webofscience.com%2Fwos%2Fwoscc%2Ffull-record%2FWOS:000223372900003","View Full Record in Web of Science")</f>
        <v>View Full Record in Web of Science</v>
      </c>
    </row>
    <row r="456" spans="1:72" x14ac:dyDescent="0.15">
      <c r="A456" t="s">
        <v>122</v>
      </c>
      <c r="B456" t="s">
        <v>6809</v>
      </c>
      <c r="C456" t="s">
        <v>74</v>
      </c>
      <c r="D456" t="s">
        <v>74</v>
      </c>
      <c r="E456" t="s">
        <v>74</v>
      </c>
      <c r="F456" t="s">
        <v>6809</v>
      </c>
      <c r="G456" t="s">
        <v>74</v>
      </c>
      <c r="H456" t="s">
        <v>74</v>
      </c>
      <c r="I456" t="s">
        <v>6810</v>
      </c>
      <c r="J456" t="s">
        <v>230</v>
      </c>
      <c r="K456" t="s">
        <v>74</v>
      </c>
      <c r="L456" t="s">
        <v>74</v>
      </c>
      <c r="M456" t="s">
        <v>79</v>
      </c>
      <c r="N456" t="s">
        <v>126</v>
      </c>
      <c r="O456" t="s">
        <v>74</v>
      </c>
      <c r="P456" t="s">
        <v>74</v>
      </c>
      <c r="Q456" t="s">
        <v>74</v>
      </c>
      <c r="R456" t="s">
        <v>74</v>
      </c>
      <c r="S456" t="s">
        <v>74</v>
      </c>
      <c r="T456" t="s">
        <v>74</v>
      </c>
      <c r="U456" t="s">
        <v>6811</v>
      </c>
      <c r="V456" t="s">
        <v>6812</v>
      </c>
      <c r="W456" t="s">
        <v>6813</v>
      </c>
      <c r="X456" t="s">
        <v>6814</v>
      </c>
      <c r="Y456" t="s">
        <v>6815</v>
      </c>
      <c r="Z456" t="s">
        <v>6816</v>
      </c>
      <c r="AA456" t="s">
        <v>6817</v>
      </c>
      <c r="AB456" t="s">
        <v>6818</v>
      </c>
      <c r="AC456" t="s">
        <v>74</v>
      </c>
      <c r="AD456" t="s">
        <v>74</v>
      </c>
      <c r="AE456" t="s">
        <v>74</v>
      </c>
      <c r="AF456" t="s">
        <v>74</v>
      </c>
      <c r="AG456">
        <v>19</v>
      </c>
      <c r="AH456">
        <v>48</v>
      </c>
      <c r="AI456">
        <v>54</v>
      </c>
      <c r="AJ456">
        <v>1</v>
      </c>
      <c r="AK456">
        <v>15</v>
      </c>
      <c r="AL456" t="s">
        <v>239</v>
      </c>
      <c r="AM456" t="s">
        <v>240</v>
      </c>
      <c r="AN456" t="s">
        <v>241</v>
      </c>
      <c r="AO456" t="s">
        <v>242</v>
      </c>
      <c r="AP456" t="s">
        <v>341</v>
      </c>
      <c r="AQ456" t="s">
        <v>74</v>
      </c>
      <c r="AR456" t="s">
        <v>243</v>
      </c>
      <c r="AS456" t="s">
        <v>244</v>
      </c>
      <c r="AT456" t="s">
        <v>6819</v>
      </c>
      <c r="AU456">
        <v>2004</v>
      </c>
      <c r="AV456">
        <v>31</v>
      </c>
      <c r="AW456">
        <v>16</v>
      </c>
      <c r="AX456" t="s">
        <v>74</v>
      </c>
      <c r="AY456" t="s">
        <v>74</v>
      </c>
      <c r="AZ456" t="s">
        <v>74</v>
      </c>
      <c r="BA456" t="s">
        <v>74</v>
      </c>
      <c r="BB456" t="s">
        <v>74</v>
      </c>
      <c r="BC456" t="s">
        <v>74</v>
      </c>
      <c r="BD456" t="s">
        <v>6820</v>
      </c>
      <c r="BE456" t="s">
        <v>6821</v>
      </c>
      <c r="BF456" t="str">
        <f>HYPERLINK("http://dx.doi.org/10.1029/2004GL020077","http://dx.doi.org/10.1029/2004GL020077")</f>
        <v>http://dx.doi.org/10.1029/2004GL020077</v>
      </c>
      <c r="BG456" t="s">
        <v>74</v>
      </c>
      <c r="BH456" t="s">
        <v>74</v>
      </c>
      <c r="BI456">
        <v>4</v>
      </c>
      <c r="BJ456" t="s">
        <v>248</v>
      </c>
      <c r="BK456" t="s">
        <v>139</v>
      </c>
      <c r="BL456" t="s">
        <v>249</v>
      </c>
      <c r="BM456" t="s">
        <v>6822</v>
      </c>
      <c r="BN456" t="s">
        <v>74</v>
      </c>
      <c r="BO456" t="s">
        <v>329</v>
      </c>
      <c r="BP456" t="s">
        <v>74</v>
      </c>
      <c r="BQ456" t="s">
        <v>74</v>
      </c>
      <c r="BR456" t="s">
        <v>98</v>
      </c>
      <c r="BS456" t="s">
        <v>6823</v>
      </c>
      <c r="BT456" t="str">
        <f>HYPERLINK("https%3A%2F%2Fwww.webofscience.com%2Fwos%2Fwoscc%2Ffull-record%2FWOS:000223887900001","View Full Record in Web of Science")</f>
        <v>View Full Record in Web of Science</v>
      </c>
    </row>
    <row r="457" spans="1:72" x14ac:dyDescent="0.15">
      <c r="A457" t="s">
        <v>122</v>
      </c>
      <c r="B457" t="s">
        <v>6824</v>
      </c>
      <c r="C457" t="s">
        <v>74</v>
      </c>
      <c r="D457" t="s">
        <v>74</v>
      </c>
      <c r="E457" t="s">
        <v>74</v>
      </c>
      <c r="F457" t="s">
        <v>6824</v>
      </c>
      <c r="G457" t="s">
        <v>74</v>
      </c>
      <c r="H457" t="s">
        <v>74</v>
      </c>
      <c r="I457" t="s">
        <v>6825</v>
      </c>
      <c r="J457" t="s">
        <v>580</v>
      </c>
      <c r="K457" t="s">
        <v>74</v>
      </c>
      <c r="L457" t="s">
        <v>74</v>
      </c>
      <c r="M457" t="s">
        <v>79</v>
      </c>
      <c r="N457" t="s">
        <v>126</v>
      </c>
      <c r="O457" t="s">
        <v>74</v>
      </c>
      <c r="P457" t="s">
        <v>74</v>
      </c>
      <c r="Q457" t="s">
        <v>74</v>
      </c>
      <c r="R457" t="s">
        <v>74</v>
      </c>
      <c r="S457" t="s">
        <v>74</v>
      </c>
      <c r="T457" t="s">
        <v>6826</v>
      </c>
      <c r="U457" t="s">
        <v>6827</v>
      </c>
      <c r="V457" t="s">
        <v>6828</v>
      </c>
      <c r="W457" t="s">
        <v>6829</v>
      </c>
      <c r="X457" t="s">
        <v>6830</v>
      </c>
      <c r="Y457" t="s">
        <v>6831</v>
      </c>
      <c r="Z457" t="s">
        <v>6832</v>
      </c>
      <c r="AA457" t="s">
        <v>6833</v>
      </c>
      <c r="AB457" t="s">
        <v>6834</v>
      </c>
      <c r="AC457" t="s">
        <v>74</v>
      </c>
      <c r="AD457" t="s">
        <v>74</v>
      </c>
      <c r="AE457" t="s">
        <v>74</v>
      </c>
      <c r="AF457" t="s">
        <v>74</v>
      </c>
      <c r="AG457">
        <v>55</v>
      </c>
      <c r="AH457">
        <v>31</v>
      </c>
      <c r="AI457">
        <v>33</v>
      </c>
      <c r="AJ457">
        <v>0</v>
      </c>
      <c r="AK457">
        <v>18</v>
      </c>
      <c r="AL457" t="s">
        <v>562</v>
      </c>
      <c r="AM457" t="s">
        <v>532</v>
      </c>
      <c r="AN457" t="s">
        <v>563</v>
      </c>
      <c r="AO457" t="s">
        <v>591</v>
      </c>
      <c r="AP457" t="s">
        <v>74</v>
      </c>
      <c r="AQ457" t="s">
        <v>74</v>
      </c>
      <c r="AR457" t="s">
        <v>593</v>
      </c>
      <c r="AS457" t="s">
        <v>594</v>
      </c>
      <c r="AT457" t="s">
        <v>6835</v>
      </c>
      <c r="AU457">
        <v>2004</v>
      </c>
      <c r="AV457">
        <v>209</v>
      </c>
      <c r="AW457" t="s">
        <v>595</v>
      </c>
      <c r="AX457" t="s">
        <v>74</v>
      </c>
      <c r="AY457" t="s">
        <v>74</v>
      </c>
      <c r="AZ457" t="s">
        <v>74</v>
      </c>
      <c r="BA457" t="s">
        <v>74</v>
      </c>
      <c r="BB457">
        <v>265</v>
      </c>
      <c r="BC457">
        <v>277</v>
      </c>
      <c r="BD457" t="s">
        <v>74</v>
      </c>
      <c r="BE457" t="s">
        <v>6836</v>
      </c>
      <c r="BF457" t="str">
        <f>HYPERLINK("http://dx.doi.org/10.1016/j.margeo.2004.06.003","http://dx.doi.org/10.1016/j.margeo.2004.06.003")</f>
        <v>http://dx.doi.org/10.1016/j.margeo.2004.06.003</v>
      </c>
      <c r="BG457" t="s">
        <v>74</v>
      </c>
      <c r="BH457" t="s">
        <v>74</v>
      </c>
      <c r="BI457">
        <v>13</v>
      </c>
      <c r="BJ457" t="s">
        <v>597</v>
      </c>
      <c r="BK457" t="s">
        <v>139</v>
      </c>
      <c r="BL457" t="s">
        <v>598</v>
      </c>
      <c r="BM457" t="s">
        <v>6837</v>
      </c>
      <c r="BN457" t="s">
        <v>74</v>
      </c>
      <c r="BO457" t="s">
        <v>74</v>
      </c>
      <c r="BP457" t="s">
        <v>74</v>
      </c>
      <c r="BQ457" t="s">
        <v>74</v>
      </c>
      <c r="BR457" t="s">
        <v>98</v>
      </c>
      <c r="BS457" t="s">
        <v>6838</v>
      </c>
      <c r="BT457" t="str">
        <f>HYPERLINK("https%3A%2F%2Fwww.webofscience.com%2Fwos%2Fwoscc%2Ffull-record%2FWOS:000223945000014","View Full Record in Web of Science")</f>
        <v>View Full Record in Web of Science</v>
      </c>
    </row>
    <row r="458" spans="1:72" x14ac:dyDescent="0.15">
      <c r="A458" t="s">
        <v>122</v>
      </c>
      <c r="B458" t="s">
        <v>6839</v>
      </c>
      <c r="C458" t="s">
        <v>74</v>
      </c>
      <c r="D458" t="s">
        <v>74</v>
      </c>
      <c r="E458" t="s">
        <v>74</v>
      </c>
      <c r="F458" t="s">
        <v>6839</v>
      </c>
      <c r="G458" t="s">
        <v>74</v>
      </c>
      <c r="H458" t="s">
        <v>74</v>
      </c>
      <c r="I458" t="s">
        <v>6840</v>
      </c>
      <c r="J458" t="s">
        <v>580</v>
      </c>
      <c r="K458" t="s">
        <v>74</v>
      </c>
      <c r="L458" t="s">
        <v>74</v>
      </c>
      <c r="M458" t="s">
        <v>79</v>
      </c>
      <c r="N458" t="s">
        <v>126</v>
      </c>
      <c r="O458" t="s">
        <v>74</v>
      </c>
      <c r="P458" t="s">
        <v>74</v>
      </c>
      <c r="Q458" t="s">
        <v>74</v>
      </c>
      <c r="R458" t="s">
        <v>74</v>
      </c>
      <c r="S458" t="s">
        <v>74</v>
      </c>
      <c r="T458" t="s">
        <v>6841</v>
      </c>
      <c r="U458" t="s">
        <v>6842</v>
      </c>
      <c r="V458" t="s">
        <v>6843</v>
      </c>
      <c r="W458" t="s">
        <v>6844</v>
      </c>
      <c r="X458" t="s">
        <v>6845</v>
      </c>
      <c r="Y458" t="s">
        <v>6846</v>
      </c>
      <c r="Z458" t="s">
        <v>6847</v>
      </c>
      <c r="AA458" t="s">
        <v>74</v>
      </c>
      <c r="AB458" t="s">
        <v>74</v>
      </c>
      <c r="AC458" t="s">
        <v>74</v>
      </c>
      <c r="AD458" t="s">
        <v>74</v>
      </c>
      <c r="AE458" t="s">
        <v>74</v>
      </c>
      <c r="AF458" t="s">
        <v>74</v>
      </c>
      <c r="AG458">
        <v>30</v>
      </c>
      <c r="AH458">
        <v>13</v>
      </c>
      <c r="AI458">
        <v>13</v>
      </c>
      <c r="AJ458">
        <v>0</v>
      </c>
      <c r="AK458">
        <v>8</v>
      </c>
      <c r="AL458" t="s">
        <v>531</v>
      </c>
      <c r="AM458" t="s">
        <v>532</v>
      </c>
      <c r="AN458" t="s">
        <v>533</v>
      </c>
      <c r="AO458" t="s">
        <v>591</v>
      </c>
      <c r="AP458" t="s">
        <v>592</v>
      </c>
      <c r="AQ458" t="s">
        <v>74</v>
      </c>
      <c r="AR458" t="s">
        <v>593</v>
      </c>
      <c r="AS458" t="s">
        <v>594</v>
      </c>
      <c r="AT458" t="s">
        <v>6835</v>
      </c>
      <c r="AU458">
        <v>2004</v>
      </c>
      <c r="AV458">
        <v>209</v>
      </c>
      <c r="AW458" t="s">
        <v>595</v>
      </c>
      <c r="AX458" t="s">
        <v>74</v>
      </c>
      <c r="AY458" t="s">
        <v>74</v>
      </c>
      <c r="AZ458" t="s">
        <v>74</v>
      </c>
      <c r="BA458" t="s">
        <v>74</v>
      </c>
      <c r="BB458">
        <v>347</v>
      </c>
      <c r="BC458">
        <v>361</v>
      </c>
      <c r="BD458" t="s">
        <v>74</v>
      </c>
      <c r="BE458" t="s">
        <v>6848</v>
      </c>
      <c r="BF458" t="str">
        <f>HYPERLINK("http://dx.doi.org/10.1016/j.margeo.2004.06.008","http://dx.doi.org/10.1016/j.margeo.2004.06.008")</f>
        <v>http://dx.doi.org/10.1016/j.margeo.2004.06.008</v>
      </c>
      <c r="BG458" t="s">
        <v>74</v>
      </c>
      <c r="BH458" t="s">
        <v>74</v>
      </c>
      <c r="BI458">
        <v>15</v>
      </c>
      <c r="BJ458" t="s">
        <v>597</v>
      </c>
      <c r="BK458" t="s">
        <v>139</v>
      </c>
      <c r="BL458" t="s">
        <v>598</v>
      </c>
      <c r="BM458" t="s">
        <v>6837</v>
      </c>
      <c r="BN458" t="s">
        <v>74</v>
      </c>
      <c r="BO458" t="s">
        <v>74</v>
      </c>
      <c r="BP458" t="s">
        <v>74</v>
      </c>
      <c r="BQ458" t="s">
        <v>74</v>
      </c>
      <c r="BR458" t="s">
        <v>98</v>
      </c>
      <c r="BS458" t="s">
        <v>6849</v>
      </c>
      <c r="BT458" t="str">
        <f>HYPERLINK("https%3A%2F%2Fwww.webofscience.com%2Fwos%2Fwoscc%2Ffull-record%2FWOS:000223945000018","View Full Record in Web of Science")</f>
        <v>View Full Record in Web of Science</v>
      </c>
    </row>
    <row r="459" spans="1:72" x14ac:dyDescent="0.15">
      <c r="A459" t="s">
        <v>122</v>
      </c>
      <c r="B459" t="s">
        <v>6850</v>
      </c>
      <c r="C459" t="s">
        <v>74</v>
      </c>
      <c r="D459" t="s">
        <v>74</v>
      </c>
      <c r="E459" t="s">
        <v>74</v>
      </c>
      <c r="F459" t="s">
        <v>6850</v>
      </c>
      <c r="G459" t="s">
        <v>74</v>
      </c>
      <c r="H459" t="s">
        <v>74</v>
      </c>
      <c r="I459" t="s">
        <v>6851</v>
      </c>
      <c r="J459" t="s">
        <v>277</v>
      </c>
      <c r="K459" t="s">
        <v>74</v>
      </c>
      <c r="L459" t="s">
        <v>74</v>
      </c>
      <c r="M459" t="s">
        <v>79</v>
      </c>
      <c r="N459" t="s">
        <v>126</v>
      </c>
      <c r="O459" t="s">
        <v>74</v>
      </c>
      <c r="P459" t="s">
        <v>74</v>
      </c>
      <c r="Q459" t="s">
        <v>74</v>
      </c>
      <c r="R459" t="s">
        <v>74</v>
      </c>
      <c r="S459" t="s">
        <v>74</v>
      </c>
      <c r="T459" t="s">
        <v>6852</v>
      </c>
      <c r="U459" t="s">
        <v>6853</v>
      </c>
      <c r="V459" t="s">
        <v>6854</v>
      </c>
      <c r="W459" t="s">
        <v>6855</v>
      </c>
      <c r="X459" t="s">
        <v>6856</v>
      </c>
      <c r="Y459" t="s">
        <v>6857</v>
      </c>
      <c r="Z459" t="s">
        <v>6858</v>
      </c>
      <c r="AA459" t="s">
        <v>6859</v>
      </c>
      <c r="AB459" t="s">
        <v>6860</v>
      </c>
      <c r="AC459" t="s">
        <v>74</v>
      </c>
      <c r="AD459" t="s">
        <v>74</v>
      </c>
      <c r="AE459" t="s">
        <v>74</v>
      </c>
      <c r="AF459" t="s">
        <v>74</v>
      </c>
      <c r="AG459">
        <v>40</v>
      </c>
      <c r="AH459">
        <v>3</v>
      </c>
      <c r="AI459">
        <v>3</v>
      </c>
      <c r="AJ459">
        <v>0</v>
      </c>
      <c r="AK459">
        <v>11</v>
      </c>
      <c r="AL459" t="s">
        <v>239</v>
      </c>
      <c r="AM459" t="s">
        <v>240</v>
      </c>
      <c r="AN459" t="s">
        <v>241</v>
      </c>
      <c r="AO459" t="s">
        <v>284</v>
      </c>
      <c r="AP459" t="s">
        <v>285</v>
      </c>
      <c r="AQ459" t="s">
        <v>74</v>
      </c>
      <c r="AR459" t="s">
        <v>286</v>
      </c>
      <c r="AS459" t="s">
        <v>287</v>
      </c>
      <c r="AT459" t="s">
        <v>6861</v>
      </c>
      <c r="AU459">
        <v>2004</v>
      </c>
      <c r="AV459">
        <v>109</v>
      </c>
      <c r="AW459" t="s">
        <v>6862</v>
      </c>
      <c r="AX459" t="s">
        <v>74</v>
      </c>
      <c r="AY459" t="s">
        <v>74</v>
      </c>
      <c r="AZ459" t="s">
        <v>74</v>
      </c>
      <c r="BA459" t="s">
        <v>74</v>
      </c>
      <c r="BB459" t="s">
        <v>74</v>
      </c>
      <c r="BC459" t="s">
        <v>74</v>
      </c>
      <c r="BD459" t="s">
        <v>6863</v>
      </c>
      <c r="BE459" t="s">
        <v>6864</v>
      </c>
      <c r="BF459" t="str">
        <f>HYPERLINK("http://dx.doi.org/10.1029/2004JD004629","http://dx.doi.org/10.1029/2004JD004629")</f>
        <v>http://dx.doi.org/10.1029/2004JD004629</v>
      </c>
      <c r="BG459" t="s">
        <v>74</v>
      </c>
      <c r="BH459" t="s">
        <v>74</v>
      </c>
      <c r="BI459">
        <v>11</v>
      </c>
      <c r="BJ459" t="s">
        <v>291</v>
      </c>
      <c r="BK459" t="s">
        <v>139</v>
      </c>
      <c r="BL459" t="s">
        <v>291</v>
      </c>
      <c r="BM459" t="s">
        <v>6865</v>
      </c>
      <c r="BN459" t="s">
        <v>74</v>
      </c>
      <c r="BO459" t="s">
        <v>207</v>
      </c>
      <c r="BP459" t="s">
        <v>74</v>
      </c>
      <c r="BQ459" t="s">
        <v>74</v>
      </c>
      <c r="BR459" t="s">
        <v>98</v>
      </c>
      <c r="BS459" t="s">
        <v>6866</v>
      </c>
      <c r="BT459" t="str">
        <f>HYPERLINK("https%3A%2F%2Fwww.webofscience.com%2Fwos%2Fwoscc%2Ffull-record%2FWOS:000223615800002","View Full Record in Web of Science")</f>
        <v>View Full Record in Web of Science</v>
      </c>
    </row>
    <row r="460" spans="1:72" x14ac:dyDescent="0.15">
      <c r="A460" t="s">
        <v>122</v>
      </c>
      <c r="B460" t="s">
        <v>6867</v>
      </c>
      <c r="C460" t="s">
        <v>74</v>
      </c>
      <c r="D460" t="s">
        <v>74</v>
      </c>
      <c r="E460" t="s">
        <v>74</v>
      </c>
      <c r="F460" t="s">
        <v>6867</v>
      </c>
      <c r="G460" t="s">
        <v>74</v>
      </c>
      <c r="H460" t="s">
        <v>74</v>
      </c>
      <c r="I460" t="s">
        <v>6868</v>
      </c>
      <c r="J460" t="s">
        <v>365</v>
      </c>
      <c r="K460" t="s">
        <v>74</v>
      </c>
      <c r="L460" t="s">
        <v>74</v>
      </c>
      <c r="M460" t="s">
        <v>79</v>
      </c>
      <c r="N460" t="s">
        <v>126</v>
      </c>
      <c r="O460" t="s">
        <v>74</v>
      </c>
      <c r="P460" t="s">
        <v>74</v>
      </c>
      <c r="Q460" t="s">
        <v>74</v>
      </c>
      <c r="R460" t="s">
        <v>74</v>
      </c>
      <c r="S460" t="s">
        <v>74</v>
      </c>
      <c r="T460" t="s">
        <v>74</v>
      </c>
      <c r="U460" t="s">
        <v>6869</v>
      </c>
      <c r="V460" t="s">
        <v>6870</v>
      </c>
      <c r="W460" t="s">
        <v>6871</v>
      </c>
      <c r="X460" t="s">
        <v>6872</v>
      </c>
      <c r="Y460" t="s">
        <v>6873</v>
      </c>
      <c r="Z460" t="s">
        <v>6874</v>
      </c>
      <c r="AA460" t="s">
        <v>6875</v>
      </c>
      <c r="AB460" t="s">
        <v>6876</v>
      </c>
      <c r="AC460" t="s">
        <v>6877</v>
      </c>
      <c r="AD460" t="s">
        <v>635</v>
      </c>
      <c r="AE460" t="s">
        <v>74</v>
      </c>
      <c r="AF460" t="s">
        <v>74</v>
      </c>
      <c r="AG460">
        <v>30</v>
      </c>
      <c r="AH460">
        <v>75</v>
      </c>
      <c r="AI460">
        <v>80</v>
      </c>
      <c r="AJ460">
        <v>2</v>
      </c>
      <c r="AK460">
        <v>389</v>
      </c>
      <c r="AL460" t="s">
        <v>374</v>
      </c>
      <c r="AM460" t="s">
        <v>375</v>
      </c>
      <c r="AN460" t="s">
        <v>376</v>
      </c>
      <c r="AO460" t="s">
        <v>377</v>
      </c>
      <c r="AP460" t="s">
        <v>378</v>
      </c>
      <c r="AQ460" t="s">
        <v>74</v>
      </c>
      <c r="AR460" t="s">
        <v>365</v>
      </c>
      <c r="AS460" t="s">
        <v>379</v>
      </c>
      <c r="AT460" t="s">
        <v>6878</v>
      </c>
      <c r="AU460">
        <v>2004</v>
      </c>
      <c r="AV460">
        <v>430</v>
      </c>
      <c r="AW460">
        <v>7003</v>
      </c>
      <c r="AX460" t="s">
        <v>74</v>
      </c>
      <c r="AY460" t="s">
        <v>74</v>
      </c>
      <c r="AZ460" t="s">
        <v>74</v>
      </c>
      <c r="BA460" t="s">
        <v>74</v>
      </c>
      <c r="BB460">
        <v>1016</v>
      </c>
      <c r="BC460">
        <v>1021</v>
      </c>
      <c r="BD460" t="s">
        <v>74</v>
      </c>
      <c r="BE460" t="s">
        <v>6879</v>
      </c>
      <c r="BF460" t="str">
        <f>HYPERLINK("http://dx.doi.org/10.1038/nature02859","http://dx.doi.org/10.1038/nature02859")</f>
        <v>http://dx.doi.org/10.1038/nature02859</v>
      </c>
      <c r="BG460" t="s">
        <v>74</v>
      </c>
      <c r="BH460" t="s">
        <v>74</v>
      </c>
      <c r="BI460">
        <v>6</v>
      </c>
      <c r="BJ460" t="s">
        <v>381</v>
      </c>
      <c r="BK460" t="s">
        <v>139</v>
      </c>
      <c r="BL460" t="s">
        <v>382</v>
      </c>
      <c r="BM460" t="s">
        <v>6880</v>
      </c>
      <c r="BN460">
        <v>15329718</v>
      </c>
      <c r="BO460" t="s">
        <v>74</v>
      </c>
      <c r="BP460" t="s">
        <v>74</v>
      </c>
      <c r="BQ460" t="s">
        <v>74</v>
      </c>
      <c r="BR460" t="s">
        <v>98</v>
      </c>
      <c r="BS460" t="s">
        <v>6881</v>
      </c>
      <c r="BT460" t="str">
        <f>HYPERLINK("https%3A%2F%2Fwww.webofscience.com%2Fwos%2Fwoscc%2Ffull-record%2FWOS:000223514900040","View Full Record in Web of Science")</f>
        <v>View Full Record in Web of Science</v>
      </c>
    </row>
    <row r="461" spans="1:72" x14ac:dyDescent="0.15">
      <c r="A461" t="s">
        <v>122</v>
      </c>
      <c r="B461" t="s">
        <v>6882</v>
      </c>
      <c r="C461" t="s">
        <v>74</v>
      </c>
      <c r="D461" t="s">
        <v>74</v>
      </c>
      <c r="E461" t="s">
        <v>74</v>
      </c>
      <c r="F461" t="s">
        <v>6882</v>
      </c>
      <c r="G461" t="s">
        <v>74</v>
      </c>
      <c r="H461" t="s">
        <v>74</v>
      </c>
      <c r="I461" t="s">
        <v>6883</v>
      </c>
      <c r="J461" t="s">
        <v>2142</v>
      </c>
      <c r="K461" t="s">
        <v>74</v>
      </c>
      <c r="L461" t="s">
        <v>74</v>
      </c>
      <c r="M461" t="s">
        <v>79</v>
      </c>
      <c r="N461" t="s">
        <v>840</v>
      </c>
      <c r="O461" t="s">
        <v>74</v>
      </c>
      <c r="P461" t="s">
        <v>74</v>
      </c>
      <c r="Q461" t="s">
        <v>74</v>
      </c>
      <c r="R461" t="s">
        <v>74</v>
      </c>
      <c r="S461" t="s">
        <v>74</v>
      </c>
      <c r="T461" t="s">
        <v>74</v>
      </c>
      <c r="U461" t="s">
        <v>74</v>
      </c>
      <c r="V461" t="s">
        <v>74</v>
      </c>
      <c r="W461" t="s">
        <v>6884</v>
      </c>
      <c r="X461" t="s">
        <v>6885</v>
      </c>
      <c r="Y461" t="s">
        <v>6886</v>
      </c>
      <c r="Z461" t="s">
        <v>6887</v>
      </c>
      <c r="AA461" t="s">
        <v>74</v>
      </c>
      <c r="AB461" t="s">
        <v>74</v>
      </c>
      <c r="AC461" t="s">
        <v>74</v>
      </c>
      <c r="AD461" t="s">
        <v>74</v>
      </c>
      <c r="AE461" t="s">
        <v>74</v>
      </c>
      <c r="AF461" t="s">
        <v>74</v>
      </c>
      <c r="AG461">
        <v>0</v>
      </c>
      <c r="AH461">
        <v>3</v>
      </c>
      <c r="AI461">
        <v>3</v>
      </c>
      <c r="AJ461">
        <v>0</v>
      </c>
      <c r="AK461">
        <v>2</v>
      </c>
      <c r="AL461" t="s">
        <v>2148</v>
      </c>
      <c r="AM461" t="s">
        <v>2149</v>
      </c>
      <c r="AN461" t="s">
        <v>2150</v>
      </c>
      <c r="AO461" t="s">
        <v>2151</v>
      </c>
      <c r="AP461" t="s">
        <v>74</v>
      </c>
      <c r="AQ461" t="s">
        <v>74</v>
      </c>
      <c r="AR461" t="s">
        <v>2152</v>
      </c>
      <c r="AS461" t="s">
        <v>2153</v>
      </c>
      <c r="AT461" t="s">
        <v>6888</v>
      </c>
      <c r="AU461">
        <v>2004</v>
      </c>
      <c r="AV461">
        <v>87</v>
      </c>
      <c r="AW461">
        <v>4</v>
      </c>
      <c r="AX461" t="s">
        <v>74</v>
      </c>
      <c r="AY461" t="s">
        <v>74</v>
      </c>
      <c r="AZ461" t="s">
        <v>74</v>
      </c>
      <c r="BA461" t="s">
        <v>74</v>
      </c>
      <c r="BB461">
        <v>420</v>
      </c>
      <c r="BC461">
        <v>420</v>
      </c>
      <c r="BD461" t="s">
        <v>74</v>
      </c>
      <c r="BE461" t="s">
        <v>74</v>
      </c>
      <c r="BF461" t="s">
        <v>74</v>
      </c>
      <c r="BG461" t="s">
        <v>74</v>
      </c>
      <c r="BH461" t="s">
        <v>74</v>
      </c>
      <c r="BI461">
        <v>1</v>
      </c>
      <c r="BJ461" t="s">
        <v>381</v>
      </c>
      <c r="BK461" t="s">
        <v>139</v>
      </c>
      <c r="BL461" t="s">
        <v>382</v>
      </c>
      <c r="BM461" t="s">
        <v>6889</v>
      </c>
      <c r="BN461" t="s">
        <v>74</v>
      </c>
      <c r="BO461" t="s">
        <v>74</v>
      </c>
      <c r="BP461" t="s">
        <v>74</v>
      </c>
      <c r="BQ461" t="s">
        <v>74</v>
      </c>
      <c r="BR461" t="s">
        <v>98</v>
      </c>
      <c r="BS461" t="s">
        <v>6890</v>
      </c>
      <c r="BT461" t="str">
        <f>HYPERLINK("https%3A%2F%2Fwww.webofscience.com%2Fwos%2Fwoscc%2Ffull-record%2FWOS:000223707500009","View Full Record in Web of Science")</f>
        <v>View Full Record in Web of Science</v>
      </c>
    </row>
    <row r="462" spans="1:72" x14ac:dyDescent="0.15">
      <c r="A462" t="s">
        <v>122</v>
      </c>
      <c r="B462" t="s">
        <v>6891</v>
      </c>
      <c r="C462" t="s">
        <v>74</v>
      </c>
      <c r="D462" t="s">
        <v>74</v>
      </c>
      <c r="E462" t="s">
        <v>74</v>
      </c>
      <c r="F462" t="s">
        <v>6891</v>
      </c>
      <c r="G462" t="s">
        <v>74</v>
      </c>
      <c r="H462" t="s">
        <v>74</v>
      </c>
      <c r="I462" t="s">
        <v>6892</v>
      </c>
      <c r="J462" t="s">
        <v>230</v>
      </c>
      <c r="K462" t="s">
        <v>74</v>
      </c>
      <c r="L462" t="s">
        <v>74</v>
      </c>
      <c r="M462" t="s">
        <v>79</v>
      </c>
      <c r="N462" t="s">
        <v>126</v>
      </c>
      <c r="O462" t="s">
        <v>74</v>
      </c>
      <c r="P462" t="s">
        <v>74</v>
      </c>
      <c r="Q462" t="s">
        <v>74</v>
      </c>
      <c r="R462" t="s">
        <v>74</v>
      </c>
      <c r="S462" t="s">
        <v>74</v>
      </c>
      <c r="T462" t="s">
        <v>74</v>
      </c>
      <c r="U462" t="s">
        <v>6893</v>
      </c>
      <c r="V462" t="s">
        <v>6894</v>
      </c>
      <c r="W462" t="s">
        <v>6895</v>
      </c>
      <c r="X462" t="s">
        <v>6896</v>
      </c>
      <c r="Y462" t="s">
        <v>6897</v>
      </c>
      <c r="Z462" t="s">
        <v>6898</v>
      </c>
      <c r="AA462" t="s">
        <v>6899</v>
      </c>
      <c r="AB462" t="s">
        <v>6900</v>
      </c>
      <c r="AC462" t="s">
        <v>74</v>
      </c>
      <c r="AD462" t="s">
        <v>74</v>
      </c>
      <c r="AE462" t="s">
        <v>74</v>
      </c>
      <c r="AF462" t="s">
        <v>74</v>
      </c>
      <c r="AG462">
        <v>29</v>
      </c>
      <c r="AH462">
        <v>171</v>
      </c>
      <c r="AI462">
        <v>201</v>
      </c>
      <c r="AJ462">
        <v>0</v>
      </c>
      <c r="AK462">
        <v>42</v>
      </c>
      <c r="AL462" t="s">
        <v>239</v>
      </c>
      <c r="AM462" t="s">
        <v>240</v>
      </c>
      <c r="AN462" t="s">
        <v>241</v>
      </c>
      <c r="AO462" t="s">
        <v>242</v>
      </c>
      <c r="AP462" t="s">
        <v>341</v>
      </c>
      <c r="AQ462" t="s">
        <v>74</v>
      </c>
      <c r="AR462" t="s">
        <v>243</v>
      </c>
      <c r="AS462" t="s">
        <v>244</v>
      </c>
      <c r="AT462" t="s">
        <v>6888</v>
      </c>
      <c r="AU462">
        <v>2004</v>
      </c>
      <c r="AV462">
        <v>31</v>
      </c>
      <c r="AW462">
        <v>16</v>
      </c>
      <c r="AX462" t="s">
        <v>74</v>
      </c>
      <c r="AY462" t="s">
        <v>74</v>
      </c>
      <c r="AZ462" t="s">
        <v>74</v>
      </c>
      <c r="BA462" t="s">
        <v>74</v>
      </c>
      <c r="BB462" t="s">
        <v>74</v>
      </c>
      <c r="BC462" t="s">
        <v>74</v>
      </c>
      <c r="BD462" t="s">
        <v>6901</v>
      </c>
      <c r="BE462" t="s">
        <v>6902</v>
      </c>
      <c r="BF462" t="str">
        <f>HYPERLINK("http://dx.doi.org/10.1029/2004GL020655","http://dx.doi.org/10.1029/2004GL020655")</f>
        <v>http://dx.doi.org/10.1029/2004GL020655</v>
      </c>
      <c r="BG462" t="s">
        <v>74</v>
      </c>
      <c r="BH462" t="s">
        <v>74</v>
      </c>
      <c r="BI462">
        <v>4</v>
      </c>
      <c r="BJ462" t="s">
        <v>248</v>
      </c>
      <c r="BK462" t="s">
        <v>139</v>
      </c>
      <c r="BL462" t="s">
        <v>249</v>
      </c>
      <c r="BM462" t="s">
        <v>6903</v>
      </c>
      <c r="BN462" t="s">
        <v>74</v>
      </c>
      <c r="BO462" t="s">
        <v>6904</v>
      </c>
      <c r="BP462" t="s">
        <v>74</v>
      </c>
      <c r="BQ462" t="s">
        <v>74</v>
      </c>
      <c r="BR462" t="s">
        <v>98</v>
      </c>
      <c r="BS462" t="s">
        <v>6905</v>
      </c>
      <c r="BT462" t="str">
        <f>HYPERLINK("https%3A%2F%2Fwww.webofscience.com%2Fwos%2Fwoscc%2Ffull-record%2FWOS:000223614600004","View Full Record in Web of Science")</f>
        <v>View Full Record in Web of Science</v>
      </c>
    </row>
    <row r="463" spans="1:72" x14ac:dyDescent="0.15">
      <c r="A463" t="s">
        <v>122</v>
      </c>
      <c r="B463" t="s">
        <v>6906</v>
      </c>
      <c r="C463" t="s">
        <v>74</v>
      </c>
      <c r="D463" t="s">
        <v>74</v>
      </c>
      <c r="E463" t="s">
        <v>74</v>
      </c>
      <c r="F463" t="s">
        <v>6906</v>
      </c>
      <c r="G463" t="s">
        <v>74</v>
      </c>
      <c r="H463" t="s">
        <v>74</v>
      </c>
      <c r="I463" t="s">
        <v>6907</v>
      </c>
      <c r="J463" t="s">
        <v>815</v>
      </c>
      <c r="K463" t="s">
        <v>74</v>
      </c>
      <c r="L463" t="s">
        <v>74</v>
      </c>
      <c r="M463" t="s">
        <v>79</v>
      </c>
      <c r="N463" t="s">
        <v>126</v>
      </c>
      <c r="O463" t="s">
        <v>74</v>
      </c>
      <c r="P463" t="s">
        <v>74</v>
      </c>
      <c r="Q463" t="s">
        <v>74</v>
      </c>
      <c r="R463" t="s">
        <v>74</v>
      </c>
      <c r="S463" t="s">
        <v>74</v>
      </c>
      <c r="T463" t="s">
        <v>74</v>
      </c>
      <c r="U463" t="s">
        <v>6908</v>
      </c>
      <c r="V463" t="s">
        <v>6909</v>
      </c>
      <c r="W463" t="s">
        <v>6910</v>
      </c>
      <c r="X463" t="s">
        <v>6911</v>
      </c>
      <c r="Y463" t="s">
        <v>6857</v>
      </c>
      <c r="Z463" t="s">
        <v>6912</v>
      </c>
      <c r="AA463" t="s">
        <v>6913</v>
      </c>
      <c r="AB463" t="s">
        <v>6914</v>
      </c>
      <c r="AC463" t="s">
        <v>74</v>
      </c>
      <c r="AD463" t="s">
        <v>74</v>
      </c>
      <c r="AE463" t="s">
        <v>74</v>
      </c>
      <c r="AF463" t="s">
        <v>74</v>
      </c>
      <c r="AG463">
        <v>27</v>
      </c>
      <c r="AH463">
        <v>33</v>
      </c>
      <c r="AI463">
        <v>42</v>
      </c>
      <c r="AJ463">
        <v>0</v>
      </c>
      <c r="AK463">
        <v>7</v>
      </c>
      <c r="AL463" t="s">
        <v>823</v>
      </c>
      <c r="AM463" t="s">
        <v>824</v>
      </c>
      <c r="AN463" t="s">
        <v>825</v>
      </c>
      <c r="AO463" t="s">
        <v>826</v>
      </c>
      <c r="AP463" t="s">
        <v>827</v>
      </c>
      <c r="AQ463" t="s">
        <v>74</v>
      </c>
      <c r="AR463" t="s">
        <v>828</v>
      </c>
      <c r="AS463" t="s">
        <v>829</v>
      </c>
      <c r="AT463" t="s">
        <v>6915</v>
      </c>
      <c r="AU463">
        <v>2004</v>
      </c>
      <c r="AV463">
        <v>4</v>
      </c>
      <c r="AW463" t="s">
        <v>74</v>
      </c>
      <c r="AX463" t="s">
        <v>74</v>
      </c>
      <c r="AY463" t="s">
        <v>74</v>
      </c>
      <c r="AZ463" t="s">
        <v>74</v>
      </c>
      <c r="BA463" t="s">
        <v>74</v>
      </c>
      <c r="BB463">
        <v>1365</v>
      </c>
      <c r="BC463">
        <v>1380</v>
      </c>
      <c r="BD463" t="s">
        <v>74</v>
      </c>
      <c r="BE463" t="s">
        <v>6916</v>
      </c>
      <c r="BF463" t="str">
        <f>HYPERLINK("http://dx.doi.org/10.5194/acp-4-1365-2004","http://dx.doi.org/10.5194/acp-4-1365-2004")</f>
        <v>http://dx.doi.org/10.5194/acp-4-1365-2004</v>
      </c>
      <c r="BG463" t="s">
        <v>74</v>
      </c>
      <c r="BH463" t="s">
        <v>74</v>
      </c>
      <c r="BI463">
        <v>16</v>
      </c>
      <c r="BJ463" t="s">
        <v>832</v>
      </c>
      <c r="BK463" t="s">
        <v>139</v>
      </c>
      <c r="BL463" t="s">
        <v>833</v>
      </c>
      <c r="BM463" t="s">
        <v>6917</v>
      </c>
      <c r="BN463" t="s">
        <v>74</v>
      </c>
      <c r="BO463" t="s">
        <v>6918</v>
      </c>
      <c r="BP463" t="s">
        <v>74</v>
      </c>
      <c r="BQ463" t="s">
        <v>74</v>
      </c>
      <c r="BR463" t="s">
        <v>98</v>
      </c>
      <c r="BS463" t="s">
        <v>6919</v>
      </c>
      <c r="BT463" t="str">
        <f>HYPERLINK("https%3A%2F%2Fwww.webofscience.com%2Fwos%2Fwoscc%2Ffull-record%2FWOS:000223504400001","View Full Record in Web of Science")</f>
        <v>View Full Record in Web of Science</v>
      </c>
    </row>
    <row r="464" spans="1:72" x14ac:dyDescent="0.15">
      <c r="A464" t="s">
        <v>122</v>
      </c>
      <c r="B464" t="s">
        <v>6920</v>
      </c>
      <c r="C464" t="s">
        <v>74</v>
      </c>
      <c r="D464" t="s">
        <v>74</v>
      </c>
      <c r="E464" t="s">
        <v>74</v>
      </c>
      <c r="F464" t="s">
        <v>6920</v>
      </c>
      <c r="G464" t="s">
        <v>74</v>
      </c>
      <c r="H464" t="s">
        <v>74</v>
      </c>
      <c r="I464" t="s">
        <v>6921</v>
      </c>
      <c r="J464" t="s">
        <v>230</v>
      </c>
      <c r="K464" t="s">
        <v>74</v>
      </c>
      <c r="L464" t="s">
        <v>74</v>
      </c>
      <c r="M464" t="s">
        <v>79</v>
      </c>
      <c r="N464" t="s">
        <v>126</v>
      </c>
      <c r="O464" t="s">
        <v>74</v>
      </c>
      <c r="P464" t="s">
        <v>74</v>
      </c>
      <c r="Q464" t="s">
        <v>74</v>
      </c>
      <c r="R464" t="s">
        <v>74</v>
      </c>
      <c r="S464" t="s">
        <v>74</v>
      </c>
      <c r="T464" t="s">
        <v>74</v>
      </c>
      <c r="U464" t="s">
        <v>6922</v>
      </c>
      <c r="V464" t="s">
        <v>6923</v>
      </c>
      <c r="W464" t="s">
        <v>6924</v>
      </c>
      <c r="X464" t="s">
        <v>5428</v>
      </c>
      <c r="Y464" t="s">
        <v>6925</v>
      </c>
      <c r="Z464" t="s">
        <v>6926</v>
      </c>
      <c r="AA464" t="s">
        <v>6927</v>
      </c>
      <c r="AB464" t="s">
        <v>6928</v>
      </c>
      <c r="AC464" t="s">
        <v>74</v>
      </c>
      <c r="AD464" t="s">
        <v>74</v>
      </c>
      <c r="AE464" t="s">
        <v>74</v>
      </c>
      <c r="AF464" t="s">
        <v>74</v>
      </c>
      <c r="AG464">
        <v>15</v>
      </c>
      <c r="AH464">
        <v>38</v>
      </c>
      <c r="AI464">
        <v>40</v>
      </c>
      <c r="AJ464">
        <v>0</v>
      </c>
      <c r="AK464">
        <v>3</v>
      </c>
      <c r="AL464" t="s">
        <v>239</v>
      </c>
      <c r="AM464" t="s">
        <v>240</v>
      </c>
      <c r="AN464" t="s">
        <v>241</v>
      </c>
      <c r="AO464" t="s">
        <v>242</v>
      </c>
      <c r="AP464" t="s">
        <v>341</v>
      </c>
      <c r="AQ464" t="s">
        <v>74</v>
      </c>
      <c r="AR464" t="s">
        <v>243</v>
      </c>
      <c r="AS464" t="s">
        <v>244</v>
      </c>
      <c r="AT464" t="s">
        <v>6915</v>
      </c>
      <c r="AU464">
        <v>2004</v>
      </c>
      <c r="AV464">
        <v>31</v>
      </c>
      <c r="AW464">
        <v>16</v>
      </c>
      <c r="AX464" t="s">
        <v>74</v>
      </c>
      <c r="AY464" t="s">
        <v>74</v>
      </c>
      <c r="AZ464" t="s">
        <v>74</v>
      </c>
      <c r="BA464" t="s">
        <v>74</v>
      </c>
      <c r="BB464" t="s">
        <v>74</v>
      </c>
      <c r="BC464" t="s">
        <v>74</v>
      </c>
      <c r="BD464" t="s">
        <v>6929</v>
      </c>
      <c r="BE464" t="s">
        <v>6930</v>
      </c>
      <c r="BF464" t="str">
        <f>HYPERLINK("http://dx.doi.org/10.1029/2004GL020352","http://dx.doi.org/10.1029/2004GL020352")</f>
        <v>http://dx.doi.org/10.1029/2004GL020352</v>
      </c>
      <c r="BG464" t="s">
        <v>74</v>
      </c>
      <c r="BH464" t="s">
        <v>74</v>
      </c>
      <c r="BI464">
        <v>4</v>
      </c>
      <c r="BJ464" t="s">
        <v>248</v>
      </c>
      <c r="BK464" t="s">
        <v>139</v>
      </c>
      <c r="BL464" t="s">
        <v>249</v>
      </c>
      <c r="BM464" t="s">
        <v>6931</v>
      </c>
      <c r="BN464" t="s">
        <v>74</v>
      </c>
      <c r="BO464" t="s">
        <v>273</v>
      </c>
      <c r="BP464" t="s">
        <v>74</v>
      </c>
      <c r="BQ464" t="s">
        <v>74</v>
      </c>
      <c r="BR464" t="s">
        <v>98</v>
      </c>
      <c r="BS464" t="s">
        <v>6932</v>
      </c>
      <c r="BT464" t="str">
        <f>HYPERLINK("https%3A%2F%2Fwww.webofscience.com%2Fwos%2Fwoscc%2Ffull-record%2FWOS:000223614500003","View Full Record in Web of Science")</f>
        <v>View Full Record in Web of Science</v>
      </c>
    </row>
    <row r="465" spans="1:72" x14ac:dyDescent="0.15">
      <c r="A465" t="s">
        <v>122</v>
      </c>
      <c r="B465" t="s">
        <v>6933</v>
      </c>
      <c r="C465" t="s">
        <v>74</v>
      </c>
      <c r="D465" t="s">
        <v>74</v>
      </c>
      <c r="E465" t="s">
        <v>74</v>
      </c>
      <c r="F465" t="s">
        <v>6933</v>
      </c>
      <c r="G465" t="s">
        <v>74</v>
      </c>
      <c r="H465" t="s">
        <v>74</v>
      </c>
      <c r="I465" t="s">
        <v>6934</v>
      </c>
      <c r="J465" t="s">
        <v>643</v>
      </c>
      <c r="K465" t="s">
        <v>74</v>
      </c>
      <c r="L465" t="s">
        <v>74</v>
      </c>
      <c r="M465" t="s">
        <v>79</v>
      </c>
      <c r="N465" t="s">
        <v>126</v>
      </c>
      <c r="O465" t="s">
        <v>74</v>
      </c>
      <c r="P465" t="s">
        <v>74</v>
      </c>
      <c r="Q465" t="s">
        <v>74</v>
      </c>
      <c r="R465" t="s">
        <v>74</v>
      </c>
      <c r="S465" t="s">
        <v>74</v>
      </c>
      <c r="T465" t="s">
        <v>6935</v>
      </c>
      <c r="U465" t="s">
        <v>6936</v>
      </c>
      <c r="V465" t="s">
        <v>6937</v>
      </c>
      <c r="W465" t="s">
        <v>6938</v>
      </c>
      <c r="X465" t="s">
        <v>6939</v>
      </c>
      <c r="Y465" t="s">
        <v>6940</v>
      </c>
      <c r="Z465" t="s">
        <v>6941</v>
      </c>
      <c r="AA465" t="s">
        <v>6942</v>
      </c>
      <c r="AB465" t="s">
        <v>6943</v>
      </c>
      <c r="AC465" t="s">
        <v>74</v>
      </c>
      <c r="AD465" t="s">
        <v>74</v>
      </c>
      <c r="AE465" t="s">
        <v>74</v>
      </c>
      <c r="AF465" t="s">
        <v>74</v>
      </c>
      <c r="AG465">
        <v>41</v>
      </c>
      <c r="AH465">
        <v>29</v>
      </c>
      <c r="AI465">
        <v>31</v>
      </c>
      <c r="AJ465">
        <v>1</v>
      </c>
      <c r="AK465">
        <v>9</v>
      </c>
      <c r="AL465" t="s">
        <v>239</v>
      </c>
      <c r="AM465" t="s">
        <v>240</v>
      </c>
      <c r="AN465" t="s">
        <v>241</v>
      </c>
      <c r="AO465" t="s">
        <v>653</v>
      </c>
      <c r="AP465" t="s">
        <v>654</v>
      </c>
      <c r="AQ465" t="s">
        <v>74</v>
      </c>
      <c r="AR465" t="s">
        <v>655</v>
      </c>
      <c r="AS465" t="s">
        <v>656</v>
      </c>
      <c r="AT465" t="s">
        <v>6915</v>
      </c>
      <c r="AU465">
        <v>2004</v>
      </c>
      <c r="AV465">
        <v>109</v>
      </c>
      <c r="AW465" t="s">
        <v>6944</v>
      </c>
      <c r="AX465" t="s">
        <v>74</v>
      </c>
      <c r="AY465" t="s">
        <v>74</v>
      </c>
      <c r="AZ465" t="s">
        <v>74</v>
      </c>
      <c r="BA465" t="s">
        <v>74</v>
      </c>
      <c r="BB465" t="s">
        <v>74</v>
      </c>
      <c r="BC465" t="s">
        <v>74</v>
      </c>
      <c r="BD465" t="s">
        <v>6945</v>
      </c>
      <c r="BE465" t="s">
        <v>6946</v>
      </c>
      <c r="BF465" t="str">
        <f>HYPERLINK("http://dx.doi.org/10.1029/2003JC002024","http://dx.doi.org/10.1029/2003JC002024")</f>
        <v>http://dx.doi.org/10.1029/2003JC002024</v>
      </c>
      <c r="BG465" t="s">
        <v>74</v>
      </c>
      <c r="BH465" t="s">
        <v>74</v>
      </c>
      <c r="BI465">
        <v>9</v>
      </c>
      <c r="BJ465" t="s">
        <v>660</v>
      </c>
      <c r="BK465" t="s">
        <v>139</v>
      </c>
      <c r="BL465" t="s">
        <v>660</v>
      </c>
      <c r="BM465" t="s">
        <v>6947</v>
      </c>
      <c r="BN465" t="s">
        <v>74</v>
      </c>
      <c r="BO465" t="s">
        <v>771</v>
      </c>
      <c r="BP465" t="s">
        <v>74</v>
      </c>
      <c r="BQ465" t="s">
        <v>74</v>
      </c>
      <c r="BR465" t="s">
        <v>98</v>
      </c>
      <c r="BS465" t="s">
        <v>6948</v>
      </c>
      <c r="BT465" t="str">
        <f>HYPERLINK("https%3A%2F%2Fwww.webofscience.com%2Fwos%2Fwoscc%2Ffull-record%2FWOS:000223616200001","View Full Record in Web of Science")</f>
        <v>View Full Record in Web of Science</v>
      </c>
    </row>
    <row r="466" spans="1:72" x14ac:dyDescent="0.15">
      <c r="A466" t="s">
        <v>122</v>
      </c>
      <c r="B466" t="s">
        <v>6949</v>
      </c>
      <c r="C466" t="s">
        <v>74</v>
      </c>
      <c r="D466" t="s">
        <v>74</v>
      </c>
      <c r="E466" t="s">
        <v>74</v>
      </c>
      <c r="F466" t="s">
        <v>6949</v>
      </c>
      <c r="G466" t="s">
        <v>74</v>
      </c>
      <c r="H466" t="s">
        <v>74</v>
      </c>
      <c r="I466" t="s">
        <v>6950</v>
      </c>
      <c r="J466" t="s">
        <v>6951</v>
      </c>
      <c r="K466" t="s">
        <v>74</v>
      </c>
      <c r="L466" t="s">
        <v>74</v>
      </c>
      <c r="M466" t="s">
        <v>79</v>
      </c>
      <c r="N466" t="s">
        <v>52</v>
      </c>
      <c r="O466" t="s">
        <v>6952</v>
      </c>
      <c r="P466" t="s">
        <v>6953</v>
      </c>
      <c r="Q466" t="s">
        <v>6954</v>
      </c>
      <c r="R466" t="s">
        <v>74</v>
      </c>
      <c r="S466" t="s">
        <v>74</v>
      </c>
      <c r="T466" t="s">
        <v>74</v>
      </c>
      <c r="U466" t="s">
        <v>74</v>
      </c>
      <c r="V466" t="s">
        <v>74</v>
      </c>
      <c r="W466" t="s">
        <v>6955</v>
      </c>
      <c r="X466" t="s">
        <v>6956</v>
      </c>
      <c r="Y466" t="s">
        <v>74</v>
      </c>
      <c r="Z466" t="s">
        <v>6957</v>
      </c>
      <c r="AA466" t="s">
        <v>6958</v>
      </c>
      <c r="AB466" t="s">
        <v>74</v>
      </c>
      <c r="AC466" t="s">
        <v>74</v>
      </c>
      <c r="AD466" t="s">
        <v>74</v>
      </c>
      <c r="AE466" t="s">
        <v>74</v>
      </c>
      <c r="AF466" t="s">
        <v>74</v>
      </c>
      <c r="AG466">
        <v>0</v>
      </c>
      <c r="AH466">
        <v>0</v>
      </c>
      <c r="AI466">
        <v>0</v>
      </c>
      <c r="AJ466">
        <v>0</v>
      </c>
      <c r="AK466">
        <v>0</v>
      </c>
      <c r="AL466" t="s">
        <v>2170</v>
      </c>
      <c r="AM466" t="s">
        <v>240</v>
      </c>
      <c r="AN466" t="s">
        <v>2171</v>
      </c>
      <c r="AO466" t="s">
        <v>6959</v>
      </c>
      <c r="AP466" t="s">
        <v>74</v>
      </c>
      <c r="AQ466" t="s">
        <v>74</v>
      </c>
      <c r="AR466" t="s">
        <v>6960</v>
      </c>
      <c r="AS466" t="s">
        <v>6961</v>
      </c>
      <c r="AT466" t="s">
        <v>6962</v>
      </c>
      <c r="AU466">
        <v>2004</v>
      </c>
      <c r="AV466">
        <v>228</v>
      </c>
      <c r="AW466" t="s">
        <v>74</v>
      </c>
      <c r="AX466">
        <v>1</v>
      </c>
      <c r="AY466" t="s">
        <v>74</v>
      </c>
      <c r="AZ466" t="s">
        <v>74</v>
      </c>
      <c r="BA466" t="s">
        <v>6963</v>
      </c>
      <c r="BB466" t="s">
        <v>6964</v>
      </c>
      <c r="BC466" t="s">
        <v>6964</v>
      </c>
      <c r="BD466" t="s">
        <v>74</v>
      </c>
      <c r="BE466" t="s">
        <v>74</v>
      </c>
      <c r="BF466" t="s">
        <v>74</v>
      </c>
      <c r="BG466" t="s">
        <v>74</v>
      </c>
      <c r="BH466" t="s">
        <v>74</v>
      </c>
      <c r="BI466">
        <v>1</v>
      </c>
      <c r="BJ466" t="s">
        <v>6965</v>
      </c>
      <c r="BK466" t="s">
        <v>1257</v>
      </c>
      <c r="BL466" t="s">
        <v>1151</v>
      </c>
      <c r="BM466" t="s">
        <v>6966</v>
      </c>
      <c r="BN466" t="s">
        <v>74</v>
      </c>
      <c r="BO466" t="s">
        <v>74</v>
      </c>
      <c r="BP466" t="s">
        <v>74</v>
      </c>
      <c r="BQ466" t="s">
        <v>74</v>
      </c>
      <c r="BR466" t="s">
        <v>98</v>
      </c>
      <c r="BS466" t="s">
        <v>6967</v>
      </c>
      <c r="BT466" t="str">
        <f>HYPERLINK("https%3A%2F%2Fwww.webofscience.com%2Fwos%2Fwoscc%2Ffull-record%2FWOS:000223712802887","View Full Record in Web of Science")</f>
        <v>View Full Record in Web of Science</v>
      </c>
    </row>
    <row r="467" spans="1:72" x14ac:dyDescent="0.15">
      <c r="A467" t="s">
        <v>122</v>
      </c>
      <c r="B467" t="s">
        <v>6968</v>
      </c>
      <c r="C467" t="s">
        <v>74</v>
      </c>
      <c r="D467" t="s">
        <v>74</v>
      </c>
      <c r="E467" t="s">
        <v>74</v>
      </c>
      <c r="F467" t="s">
        <v>6968</v>
      </c>
      <c r="G467" t="s">
        <v>74</v>
      </c>
      <c r="H467" t="s">
        <v>74</v>
      </c>
      <c r="I467" t="s">
        <v>6969</v>
      </c>
      <c r="J467" t="s">
        <v>230</v>
      </c>
      <c r="K467" t="s">
        <v>74</v>
      </c>
      <c r="L467" t="s">
        <v>74</v>
      </c>
      <c r="M467" t="s">
        <v>79</v>
      </c>
      <c r="N467" t="s">
        <v>126</v>
      </c>
      <c r="O467" t="s">
        <v>74</v>
      </c>
      <c r="P467" t="s">
        <v>74</v>
      </c>
      <c r="Q467" t="s">
        <v>74</v>
      </c>
      <c r="R467" t="s">
        <v>74</v>
      </c>
      <c r="S467" t="s">
        <v>74</v>
      </c>
      <c r="T467" t="s">
        <v>74</v>
      </c>
      <c r="U467" t="s">
        <v>6970</v>
      </c>
      <c r="V467" t="s">
        <v>6971</v>
      </c>
      <c r="W467" t="s">
        <v>6972</v>
      </c>
      <c r="X467" t="s">
        <v>6973</v>
      </c>
      <c r="Y467" t="s">
        <v>6974</v>
      </c>
      <c r="Z467" t="s">
        <v>6975</v>
      </c>
      <c r="AA467" t="s">
        <v>6976</v>
      </c>
      <c r="AB467" t="s">
        <v>6977</v>
      </c>
      <c r="AC467" t="s">
        <v>74</v>
      </c>
      <c r="AD467" t="s">
        <v>74</v>
      </c>
      <c r="AE467" t="s">
        <v>74</v>
      </c>
      <c r="AF467" t="s">
        <v>74</v>
      </c>
      <c r="AG467">
        <v>23</v>
      </c>
      <c r="AH467">
        <v>57</v>
      </c>
      <c r="AI467">
        <v>61</v>
      </c>
      <c r="AJ467">
        <v>0</v>
      </c>
      <c r="AK467">
        <v>24</v>
      </c>
      <c r="AL467" t="s">
        <v>239</v>
      </c>
      <c r="AM467" t="s">
        <v>240</v>
      </c>
      <c r="AN467" t="s">
        <v>241</v>
      </c>
      <c r="AO467" t="s">
        <v>242</v>
      </c>
      <c r="AP467" t="s">
        <v>341</v>
      </c>
      <c r="AQ467" t="s">
        <v>74</v>
      </c>
      <c r="AR467" t="s">
        <v>243</v>
      </c>
      <c r="AS467" t="s">
        <v>244</v>
      </c>
      <c r="AT467" t="s">
        <v>6978</v>
      </c>
      <c r="AU467">
        <v>2004</v>
      </c>
      <c r="AV467">
        <v>31</v>
      </c>
      <c r="AW467">
        <v>16</v>
      </c>
      <c r="AX467" t="s">
        <v>74</v>
      </c>
      <c r="AY467" t="s">
        <v>74</v>
      </c>
      <c r="AZ467" t="s">
        <v>74</v>
      </c>
      <c r="BA467" t="s">
        <v>74</v>
      </c>
      <c r="BB467" t="s">
        <v>74</v>
      </c>
      <c r="BC467" t="s">
        <v>74</v>
      </c>
      <c r="BD467" t="s">
        <v>6979</v>
      </c>
      <c r="BE467" t="s">
        <v>6980</v>
      </c>
      <c r="BF467" t="str">
        <f>HYPERLINK("http://dx.doi.org/10.1029/2004GL020338","http://dx.doi.org/10.1029/2004GL020338")</f>
        <v>http://dx.doi.org/10.1029/2004GL020338</v>
      </c>
      <c r="BG467" t="s">
        <v>74</v>
      </c>
      <c r="BH467" t="s">
        <v>74</v>
      </c>
      <c r="BI467">
        <v>4</v>
      </c>
      <c r="BJ467" t="s">
        <v>248</v>
      </c>
      <c r="BK467" t="s">
        <v>139</v>
      </c>
      <c r="BL467" t="s">
        <v>249</v>
      </c>
      <c r="BM467" t="s">
        <v>6981</v>
      </c>
      <c r="BN467" t="s">
        <v>74</v>
      </c>
      <c r="BO467" t="s">
        <v>207</v>
      </c>
      <c r="BP467" t="s">
        <v>74</v>
      </c>
      <c r="BQ467" t="s">
        <v>74</v>
      </c>
      <c r="BR467" t="s">
        <v>98</v>
      </c>
      <c r="BS467" t="s">
        <v>6982</v>
      </c>
      <c r="BT467" t="str">
        <f>HYPERLINK("https%3A%2F%2Fwww.webofscience.com%2Fwos%2Fwoscc%2Ffull-record%2FWOS:000223544600005","View Full Record in Web of Science")</f>
        <v>View Full Record in Web of Science</v>
      </c>
    </row>
    <row r="468" spans="1:72" x14ac:dyDescent="0.15">
      <c r="A468" t="s">
        <v>122</v>
      </c>
      <c r="B468" t="s">
        <v>6983</v>
      </c>
      <c r="C468" t="s">
        <v>74</v>
      </c>
      <c r="D468" t="s">
        <v>74</v>
      </c>
      <c r="E468" t="s">
        <v>74</v>
      </c>
      <c r="F468" t="s">
        <v>6983</v>
      </c>
      <c r="G468" t="s">
        <v>74</v>
      </c>
      <c r="H468" t="s">
        <v>74</v>
      </c>
      <c r="I468" t="s">
        <v>6984</v>
      </c>
      <c r="J468" t="s">
        <v>230</v>
      </c>
      <c r="K468" t="s">
        <v>74</v>
      </c>
      <c r="L468" t="s">
        <v>74</v>
      </c>
      <c r="M468" t="s">
        <v>79</v>
      </c>
      <c r="N468" t="s">
        <v>126</v>
      </c>
      <c r="O468" t="s">
        <v>74</v>
      </c>
      <c r="P468" t="s">
        <v>74</v>
      </c>
      <c r="Q468" t="s">
        <v>74</v>
      </c>
      <c r="R468" t="s">
        <v>74</v>
      </c>
      <c r="S468" t="s">
        <v>74</v>
      </c>
      <c r="T468" t="s">
        <v>74</v>
      </c>
      <c r="U468" t="s">
        <v>6985</v>
      </c>
      <c r="V468" t="s">
        <v>6986</v>
      </c>
      <c r="W468" t="s">
        <v>6987</v>
      </c>
      <c r="X468" t="s">
        <v>6988</v>
      </c>
      <c r="Y468" t="s">
        <v>6989</v>
      </c>
      <c r="Z468" t="s">
        <v>6990</v>
      </c>
      <c r="AA468" t="s">
        <v>6991</v>
      </c>
      <c r="AB468" t="s">
        <v>6992</v>
      </c>
      <c r="AC468" t="s">
        <v>74</v>
      </c>
      <c r="AD468" t="s">
        <v>74</v>
      </c>
      <c r="AE468" t="s">
        <v>74</v>
      </c>
      <c r="AF468" t="s">
        <v>74</v>
      </c>
      <c r="AG468">
        <v>15</v>
      </c>
      <c r="AH468">
        <v>10</v>
      </c>
      <c r="AI468">
        <v>10</v>
      </c>
      <c r="AJ468">
        <v>0</v>
      </c>
      <c r="AK468">
        <v>4</v>
      </c>
      <c r="AL468" t="s">
        <v>239</v>
      </c>
      <c r="AM468" t="s">
        <v>240</v>
      </c>
      <c r="AN468" t="s">
        <v>241</v>
      </c>
      <c r="AO468" t="s">
        <v>242</v>
      </c>
      <c r="AP468" t="s">
        <v>341</v>
      </c>
      <c r="AQ468" t="s">
        <v>74</v>
      </c>
      <c r="AR468" t="s">
        <v>243</v>
      </c>
      <c r="AS468" t="s">
        <v>244</v>
      </c>
      <c r="AT468" t="s">
        <v>6978</v>
      </c>
      <c r="AU468">
        <v>2004</v>
      </c>
      <c r="AV468">
        <v>31</v>
      </c>
      <c r="AW468">
        <v>16</v>
      </c>
      <c r="AX468" t="s">
        <v>74</v>
      </c>
      <c r="AY468" t="s">
        <v>74</v>
      </c>
      <c r="AZ468" t="s">
        <v>74</v>
      </c>
      <c r="BA468" t="s">
        <v>74</v>
      </c>
      <c r="BB468" t="s">
        <v>74</v>
      </c>
      <c r="BC468" t="s">
        <v>74</v>
      </c>
      <c r="BD468" t="s">
        <v>6993</v>
      </c>
      <c r="BE468" t="s">
        <v>6994</v>
      </c>
      <c r="BF468" t="str">
        <f>HYPERLINK("http://dx.doi.org/10.1029/2004GL020068","http://dx.doi.org/10.1029/2004GL020068")</f>
        <v>http://dx.doi.org/10.1029/2004GL020068</v>
      </c>
      <c r="BG468" t="s">
        <v>74</v>
      </c>
      <c r="BH468" t="s">
        <v>74</v>
      </c>
      <c r="BI468">
        <v>5</v>
      </c>
      <c r="BJ468" t="s">
        <v>248</v>
      </c>
      <c r="BK468" t="s">
        <v>139</v>
      </c>
      <c r="BL468" t="s">
        <v>249</v>
      </c>
      <c r="BM468" t="s">
        <v>6981</v>
      </c>
      <c r="BN468" t="s">
        <v>74</v>
      </c>
      <c r="BO468" t="s">
        <v>273</v>
      </c>
      <c r="BP468" t="s">
        <v>74</v>
      </c>
      <c r="BQ468" t="s">
        <v>74</v>
      </c>
      <c r="BR468" t="s">
        <v>98</v>
      </c>
      <c r="BS468" t="s">
        <v>6995</v>
      </c>
      <c r="BT468" t="str">
        <f>HYPERLINK("https%3A%2F%2Fwww.webofscience.com%2Fwos%2Fwoscc%2Ffull-record%2FWOS:000223544600003","View Full Record in Web of Science")</f>
        <v>View Full Record in Web of Science</v>
      </c>
    </row>
    <row r="469" spans="1:72" x14ac:dyDescent="0.15">
      <c r="A469" t="s">
        <v>122</v>
      </c>
      <c r="B469" t="s">
        <v>6996</v>
      </c>
      <c r="C469" t="s">
        <v>74</v>
      </c>
      <c r="D469" t="s">
        <v>74</v>
      </c>
      <c r="E469" t="s">
        <v>74</v>
      </c>
      <c r="F469" t="s">
        <v>6996</v>
      </c>
      <c r="G469" t="s">
        <v>74</v>
      </c>
      <c r="H469" t="s">
        <v>74</v>
      </c>
      <c r="I469" t="s">
        <v>6997</v>
      </c>
      <c r="J469" t="s">
        <v>277</v>
      </c>
      <c r="K469" t="s">
        <v>74</v>
      </c>
      <c r="L469" t="s">
        <v>74</v>
      </c>
      <c r="M469" t="s">
        <v>79</v>
      </c>
      <c r="N469" t="s">
        <v>126</v>
      </c>
      <c r="O469" t="s">
        <v>74</v>
      </c>
      <c r="P469" t="s">
        <v>74</v>
      </c>
      <c r="Q469" t="s">
        <v>74</v>
      </c>
      <c r="R469" t="s">
        <v>74</v>
      </c>
      <c r="S469" t="s">
        <v>74</v>
      </c>
      <c r="T469" t="s">
        <v>6998</v>
      </c>
      <c r="U469" t="s">
        <v>6999</v>
      </c>
      <c r="V469" t="s">
        <v>7000</v>
      </c>
      <c r="W469" t="s">
        <v>7001</v>
      </c>
      <c r="X469" t="s">
        <v>7002</v>
      </c>
      <c r="Y469" t="s">
        <v>7003</v>
      </c>
      <c r="Z469" t="s">
        <v>7004</v>
      </c>
      <c r="AA469" t="s">
        <v>7005</v>
      </c>
      <c r="AB469" t="s">
        <v>74</v>
      </c>
      <c r="AC469" t="s">
        <v>74</v>
      </c>
      <c r="AD469" t="s">
        <v>74</v>
      </c>
      <c r="AE469" t="s">
        <v>74</v>
      </c>
      <c r="AF469" t="s">
        <v>74</v>
      </c>
      <c r="AG469">
        <v>65</v>
      </c>
      <c r="AH469">
        <v>23</v>
      </c>
      <c r="AI469">
        <v>23</v>
      </c>
      <c r="AJ469">
        <v>1</v>
      </c>
      <c r="AK469">
        <v>16</v>
      </c>
      <c r="AL469" t="s">
        <v>239</v>
      </c>
      <c r="AM469" t="s">
        <v>240</v>
      </c>
      <c r="AN469" t="s">
        <v>241</v>
      </c>
      <c r="AO469" t="s">
        <v>284</v>
      </c>
      <c r="AP469" t="s">
        <v>285</v>
      </c>
      <c r="AQ469" t="s">
        <v>74</v>
      </c>
      <c r="AR469" t="s">
        <v>286</v>
      </c>
      <c r="AS469" t="s">
        <v>287</v>
      </c>
      <c r="AT469" t="s">
        <v>7006</v>
      </c>
      <c r="AU469">
        <v>2004</v>
      </c>
      <c r="AV469">
        <v>109</v>
      </c>
      <c r="AW469" t="s">
        <v>6862</v>
      </c>
      <c r="AX469" t="s">
        <v>74</v>
      </c>
      <c r="AY469" t="s">
        <v>74</v>
      </c>
      <c r="AZ469" t="s">
        <v>74</v>
      </c>
      <c r="BA469" t="s">
        <v>74</v>
      </c>
      <c r="BB469" t="s">
        <v>74</v>
      </c>
      <c r="BC469" t="s">
        <v>74</v>
      </c>
      <c r="BD469" t="s">
        <v>7007</v>
      </c>
      <c r="BE469" t="s">
        <v>7008</v>
      </c>
      <c r="BF469" t="str">
        <f>HYPERLINK("http://dx.doi.org/10.1029/2003JD004065","http://dx.doi.org/10.1029/2003JD004065")</f>
        <v>http://dx.doi.org/10.1029/2003JD004065</v>
      </c>
      <c r="BG469" t="s">
        <v>74</v>
      </c>
      <c r="BH469" t="s">
        <v>74</v>
      </c>
      <c r="BI469">
        <v>11</v>
      </c>
      <c r="BJ469" t="s">
        <v>291</v>
      </c>
      <c r="BK469" t="s">
        <v>139</v>
      </c>
      <c r="BL469" t="s">
        <v>291</v>
      </c>
      <c r="BM469" t="s">
        <v>7009</v>
      </c>
      <c r="BN469" t="s">
        <v>74</v>
      </c>
      <c r="BO469" t="s">
        <v>207</v>
      </c>
      <c r="BP469" t="s">
        <v>74</v>
      </c>
      <c r="BQ469" t="s">
        <v>74</v>
      </c>
      <c r="BR469" t="s">
        <v>98</v>
      </c>
      <c r="BS469" t="s">
        <v>7010</v>
      </c>
      <c r="BT469" t="str">
        <f>HYPERLINK("https%3A%2F%2Fwww.webofscience.com%2Fwos%2Fwoscc%2Ffull-record%2FWOS:000223546300002","View Full Record in Web of Science")</f>
        <v>View Full Record in Web of Science</v>
      </c>
    </row>
    <row r="470" spans="1:72" x14ac:dyDescent="0.15">
      <c r="A470" t="s">
        <v>122</v>
      </c>
      <c r="B470" t="s">
        <v>7011</v>
      </c>
      <c r="C470" t="s">
        <v>74</v>
      </c>
      <c r="D470" t="s">
        <v>74</v>
      </c>
      <c r="E470" t="s">
        <v>74</v>
      </c>
      <c r="F470" t="s">
        <v>7011</v>
      </c>
      <c r="G470" t="s">
        <v>74</v>
      </c>
      <c r="H470" t="s">
        <v>74</v>
      </c>
      <c r="I470" t="s">
        <v>7012</v>
      </c>
      <c r="J470" t="s">
        <v>365</v>
      </c>
      <c r="K470" t="s">
        <v>74</v>
      </c>
      <c r="L470" t="s">
        <v>74</v>
      </c>
      <c r="M470" t="s">
        <v>79</v>
      </c>
      <c r="N470" t="s">
        <v>126</v>
      </c>
      <c r="O470" t="s">
        <v>74</v>
      </c>
      <c r="P470" t="s">
        <v>74</v>
      </c>
      <c r="Q470" t="s">
        <v>74</v>
      </c>
      <c r="R470" t="s">
        <v>74</v>
      </c>
      <c r="S470" t="s">
        <v>74</v>
      </c>
      <c r="T470" t="s">
        <v>74</v>
      </c>
      <c r="U470" t="s">
        <v>7013</v>
      </c>
      <c r="V470" t="s">
        <v>7014</v>
      </c>
      <c r="W470" t="s">
        <v>7015</v>
      </c>
      <c r="X470" t="s">
        <v>7016</v>
      </c>
      <c r="Y470" t="s">
        <v>7017</v>
      </c>
      <c r="Z470" t="s">
        <v>7018</v>
      </c>
      <c r="AA470" t="s">
        <v>7019</v>
      </c>
      <c r="AB470" t="s">
        <v>7020</v>
      </c>
      <c r="AC470" t="s">
        <v>74</v>
      </c>
      <c r="AD470" t="s">
        <v>74</v>
      </c>
      <c r="AE470" t="s">
        <v>74</v>
      </c>
      <c r="AF470" t="s">
        <v>74</v>
      </c>
      <c r="AG470">
        <v>50</v>
      </c>
      <c r="AH470">
        <v>214</v>
      </c>
      <c r="AI470">
        <v>253</v>
      </c>
      <c r="AJ470">
        <v>1</v>
      </c>
      <c r="AK470">
        <v>44</v>
      </c>
      <c r="AL470" t="s">
        <v>374</v>
      </c>
      <c r="AM470" t="s">
        <v>375</v>
      </c>
      <c r="AN470" t="s">
        <v>376</v>
      </c>
      <c r="AO470" t="s">
        <v>377</v>
      </c>
      <c r="AP470" t="s">
        <v>378</v>
      </c>
      <c r="AQ470" t="s">
        <v>74</v>
      </c>
      <c r="AR470" t="s">
        <v>365</v>
      </c>
      <c r="AS470" t="s">
        <v>379</v>
      </c>
      <c r="AT470" t="s">
        <v>7021</v>
      </c>
      <c r="AU470">
        <v>2004</v>
      </c>
      <c r="AV470">
        <v>430</v>
      </c>
      <c r="AW470">
        <v>7002</v>
      </c>
      <c r="AX470" t="s">
        <v>74</v>
      </c>
      <c r="AY470" t="s">
        <v>74</v>
      </c>
      <c r="AZ470" t="s">
        <v>74</v>
      </c>
      <c r="BA470" t="s">
        <v>74</v>
      </c>
      <c r="BB470">
        <v>851</v>
      </c>
      <c r="BC470">
        <v>856</v>
      </c>
      <c r="BD470" t="s">
        <v>74</v>
      </c>
      <c r="BE470" t="s">
        <v>7022</v>
      </c>
      <c r="BF470" t="str">
        <f>HYPERLINK("http://dx.doi.org/10.1038/nature02786","http://dx.doi.org/10.1038/nature02786")</f>
        <v>http://dx.doi.org/10.1038/nature02786</v>
      </c>
      <c r="BG470" t="s">
        <v>74</v>
      </c>
      <c r="BH470" t="s">
        <v>74</v>
      </c>
      <c r="BI470">
        <v>6</v>
      </c>
      <c r="BJ470" t="s">
        <v>381</v>
      </c>
      <c r="BK470" t="s">
        <v>139</v>
      </c>
      <c r="BL470" t="s">
        <v>382</v>
      </c>
      <c r="BM470" t="s">
        <v>7023</v>
      </c>
      <c r="BN470">
        <v>15318212</v>
      </c>
      <c r="BO470" t="s">
        <v>74</v>
      </c>
      <c r="BP470" t="s">
        <v>74</v>
      </c>
      <c r="BQ470" t="s">
        <v>74</v>
      </c>
      <c r="BR470" t="s">
        <v>98</v>
      </c>
      <c r="BS470" t="s">
        <v>7024</v>
      </c>
      <c r="BT470" t="str">
        <f>HYPERLINK("https%3A%2F%2Fwww.webofscience.com%2Fwos%2Fwoscc%2Ffull-record%2FWOS:000223369800032","View Full Record in Web of Science")</f>
        <v>View Full Record in Web of Science</v>
      </c>
    </row>
    <row r="471" spans="1:72" x14ac:dyDescent="0.15">
      <c r="A471" t="s">
        <v>122</v>
      </c>
      <c r="B471" t="s">
        <v>7025</v>
      </c>
      <c r="C471" t="s">
        <v>74</v>
      </c>
      <c r="D471" t="s">
        <v>74</v>
      </c>
      <c r="E471" t="s">
        <v>74</v>
      </c>
      <c r="F471" t="s">
        <v>7025</v>
      </c>
      <c r="G471" t="s">
        <v>74</v>
      </c>
      <c r="H471" t="s">
        <v>74</v>
      </c>
      <c r="I471" t="s">
        <v>7026</v>
      </c>
      <c r="J471" t="s">
        <v>2283</v>
      </c>
      <c r="K471" t="s">
        <v>74</v>
      </c>
      <c r="L471" t="s">
        <v>74</v>
      </c>
      <c r="M471" t="s">
        <v>79</v>
      </c>
      <c r="N471" t="s">
        <v>581</v>
      </c>
      <c r="O471" t="s">
        <v>74</v>
      </c>
      <c r="P471" t="s">
        <v>74</v>
      </c>
      <c r="Q471" t="s">
        <v>74</v>
      </c>
      <c r="R471" t="s">
        <v>74</v>
      </c>
      <c r="S471" t="s">
        <v>74</v>
      </c>
      <c r="T471" t="s">
        <v>7027</v>
      </c>
      <c r="U471" t="s">
        <v>7028</v>
      </c>
      <c r="V471" t="s">
        <v>7029</v>
      </c>
      <c r="W471" t="s">
        <v>7030</v>
      </c>
      <c r="X471" t="s">
        <v>7031</v>
      </c>
      <c r="Y471" t="s">
        <v>7032</v>
      </c>
      <c r="Z471" t="s">
        <v>7033</v>
      </c>
      <c r="AA471" t="s">
        <v>7034</v>
      </c>
      <c r="AB471" t="s">
        <v>7035</v>
      </c>
      <c r="AC471" t="s">
        <v>74</v>
      </c>
      <c r="AD471" t="s">
        <v>74</v>
      </c>
      <c r="AE471" t="s">
        <v>74</v>
      </c>
      <c r="AF471" t="s">
        <v>74</v>
      </c>
      <c r="AG471">
        <v>110</v>
      </c>
      <c r="AH471">
        <v>29</v>
      </c>
      <c r="AI471">
        <v>29</v>
      </c>
      <c r="AJ471">
        <v>1</v>
      </c>
      <c r="AK471">
        <v>11</v>
      </c>
      <c r="AL471" t="s">
        <v>531</v>
      </c>
      <c r="AM471" t="s">
        <v>532</v>
      </c>
      <c r="AN471" t="s">
        <v>533</v>
      </c>
      <c r="AO471" t="s">
        <v>2294</v>
      </c>
      <c r="AP471" t="s">
        <v>2295</v>
      </c>
      <c r="AQ471" t="s">
        <v>74</v>
      </c>
      <c r="AR471" t="s">
        <v>2296</v>
      </c>
      <c r="AS471" t="s">
        <v>2297</v>
      </c>
      <c r="AT471" t="s">
        <v>7021</v>
      </c>
      <c r="AU471">
        <v>2004</v>
      </c>
      <c r="AV471">
        <v>211</v>
      </c>
      <c r="AW471" t="s">
        <v>2537</v>
      </c>
      <c r="AX471" t="s">
        <v>74</v>
      </c>
      <c r="AY471" t="s">
        <v>74</v>
      </c>
      <c r="AZ471" t="s">
        <v>74</v>
      </c>
      <c r="BA471" t="s">
        <v>74</v>
      </c>
      <c r="BB471">
        <v>59</v>
      </c>
      <c r="BC471">
        <v>93</v>
      </c>
      <c r="BD471" t="s">
        <v>74</v>
      </c>
      <c r="BE471" t="s">
        <v>7036</v>
      </c>
      <c r="BF471" t="str">
        <f>HYPERLINK("http://dx.doi.org/10.1016/j.palaeo.2004.04.007","http://dx.doi.org/10.1016/j.palaeo.2004.04.007")</f>
        <v>http://dx.doi.org/10.1016/j.palaeo.2004.04.007</v>
      </c>
      <c r="BG471" t="s">
        <v>74</v>
      </c>
      <c r="BH471" t="s">
        <v>74</v>
      </c>
      <c r="BI471">
        <v>35</v>
      </c>
      <c r="BJ471" t="s">
        <v>2299</v>
      </c>
      <c r="BK471" t="s">
        <v>139</v>
      </c>
      <c r="BL471" t="s">
        <v>2300</v>
      </c>
      <c r="BM471" t="s">
        <v>7037</v>
      </c>
      <c r="BN471" t="s">
        <v>74</v>
      </c>
      <c r="BO471" t="s">
        <v>74</v>
      </c>
      <c r="BP471" t="s">
        <v>74</v>
      </c>
      <c r="BQ471" t="s">
        <v>74</v>
      </c>
      <c r="BR471" t="s">
        <v>98</v>
      </c>
      <c r="BS471" t="s">
        <v>7038</v>
      </c>
      <c r="BT471" t="str">
        <f>HYPERLINK("https%3A%2F%2Fwww.webofscience.com%2Fwos%2Fwoscc%2Ffull-record%2FWOS:000223527900004","View Full Record in Web of Science")</f>
        <v>View Full Record in Web of Science</v>
      </c>
    </row>
    <row r="472" spans="1:72" x14ac:dyDescent="0.15">
      <c r="A472" t="s">
        <v>122</v>
      </c>
      <c r="B472" t="s">
        <v>7039</v>
      </c>
      <c r="C472" t="s">
        <v>74</v>
      </c>
      <c r="D472" t="s">
        <v>74</v>
      </c>
      <c r="E472" t="s">
        <v>74</v>
      </c>
      <c r="F472" t="s">
        <v>7039</v>
      </c>
      <c r="G472" t="s">
        <v>74</v>
      </c>
      <c r="H472" t="s">
        <v>74</v>
      </c>
      <c r="I472" t="s">
        <v>7040</v>
      </c>
      <c r="J472" t="s">
        <v>230</v>
      </c>
      <c r="K472" t="s">
        <v>74</v>
      </c>
      <c r="L472" t="s">
        <v>74</v>
      </c>
      <c r="M472" t="s">
        <v>79</v>
      </c>
      <c r="N472" t="s">
        <v>126</v>
      </c>
      <c r="O472" t="s">
        <v>74</v>
      </c>
      <c r="P472" t="s">
        <v>74</v>
      </c>
      <c r="Q472" t="s">
        <v>74</v>
      </c>
      <c r="R472" t="s">
        <v>74</v>
      </c>
      <c r="S472" t="s">
        <v>74</v>
      </c>
      <c r="T472" t="s">
        <v>74</v>
      </c>
      <c r="U472" t="s">
        <v>7041</v>
      </c>
      <c r="V472" t="s">
        <v>7042</v>
      </c>
      <c r="W472" t="s">
        <v>7043</v>
      </c>
      <c r="X472" t="s">
        <v>7044</v>
      </c>
      <c r="Y472" t="s">
        <v>7045</v>
      </c>
      <c r="Z472" t="s">
        <v>7046</v>
      </c>
      <c r="AA472" t="s">
        <v>74</v>
      </c>
      <c r="AB472" t="s">
        <v>74</v>
      </c>
      <c r="AC472" t="s">
        <v>74</v>
      </c>
      <c r="AD472" t="s">
        <v>74</v>
      </c>
      <c r="AE472" t="s">
        <v>74</v>
      </c>
      <c r="AF472" t="s">
        <v>74</v>
      </c>
      <c r="AG472">
        <v>18</v>
      </c>
      <c r="AH472">
        <v>41</v>
      </c>
      <c r="AI472">
        <v>43</v>
      </c>
      <c r="AJ472">
        <v>2</v>
      </c>
      <c r="AK472">
        <v>6</v>
      </c>
      <c r="AL472" t="s">
        <v>239</v>
      </c>
      <c r="AM472" t="s">
        <v>240</v>
      </c>
      <c r="AN472" t="s">
        <v>241</v>
      </c>
      <c r="AO472" t="s">
        <v>242</v>
      </c>
      <c r="AP472" t="s">
        <v>341</v>
      </c>
      <c r="AQ472" t="s">
        <v>74</v>
      </c>
      <c r="AR472" t="s">
        <v>243</v>
      </c>
      <c r="AS472" t="s">
        <v>244</v>
      </c>
      <c r="AT472" t="s">
        <v>7047</v>
      </c>
      <c r="AU472">
        <v>2004</v>
      </c>
      <c r="AV472">
        <v>31</v>
      </c>
      <c r="AW472">
        <v>16</v>
      </c>
      <c r="AX472" t="s">
        <v>74</v>
      </c>
      <c r="AY472" t="s">
        <v>74</v>
      </c>
      <c r="AZ472" t="s">
        <v>74</v>
      </c>
      <c r="BA472" t="s">
        <v>74</v>
      </c>
      <c r="BB472" t="s">
        <v>74</v>
      </c>
      <c r="BC472" t="s">
        <v>74</v>
      </c>
      <c r="BD472" t="s">
        <v>7048</v>
      </c>
      <c r="BE472" t="s">
        <v>7049</v>
      </c>
      <c r="BF472" t="str">
        <f>HYPERLINK("http://dx.doi.org/10.1029/2004GL019532","http://dx.doi.org/10.1029/2004GL019532")</f>
        <v>http://dx.doi.org/10.1029/2004GL019532</v>
      </c>
      <c r="BG472" t="s">
        <v>74</v>
      </c>
      <c r="BH472" t="s">
        <v>74</v>
      </c>
      <c r="BI472">
        <v>4</v>
      </c>
      <c r="BJ472" t="s">
        <v>248</v>
      </c>
      <c r="BK472" t="s">
        <v>139</v>
      </c>
      <c r="BL472" t="s">
        <v>249</v>
      </c>
      <c r="BM472" t="s">
        <v>7050</v>
      </c>
      <c r="BN472" t="s">
        <v>74</v>
      </c>
      <c r="BO472" t="s">
        <v>273</v>
      </c>
      <c r="BP472" t="s">
        <v>74</v>
      </c>
      <c r="BQ472" t="s">
        <v>74</v>
      </c>
      <c r="BR472" t="s">
        <v>98</v>
      </c>
      <c r="BS472" t="s">
        <v>7051</v>
      </c>
      <c r="BT472" t="str">
        <f>HYPERLINK("https%3A%2F%2Fwww.webofscience.com%2Fwos%2Fwoscc%2Ffull-record%2FWOS:000223544100001","View Full Record in Web of Science")</f>
        <v>View Full Record in Web of Science</v>
      </c>
    </row>
    <row r="473" spans="1:72" x14ac:dyDescent="0.15">
      <c r="A473" t="s">
        <v>122</v>
      </c>
      <c r="B473" t="s">
        <v>7052</v>
      </c>
      <c r="C473" t="s">
        <v>74</v>
      </c>
      <c r="D473" t="s">
        <v>74</v>
      </c>
      <c r="E473" t="s">
        <v>74</v>
      </c>
      <c r="F473" t="s">
        <v>7052</v>
      </c>
      <c r="G473" t="s">
        <v>74</v>
      </c>
      <c r="H473" t="s">
        <v>74</v>
      </c>
      <c r="I473" t="s">
        <v>7053</v>
      </c>
      <c r="J473" t="s">
        <v>230</v>
      </c>
      <c r="K473" t="s">
        <v>74</v>
      </c>
      <c r="L473" t="s">
        <v>74</v>
      </c>
      <c r="M473" t="s">
        <v>79</v>
      </c>
      <c r="N473" t="s">
        <v>126</v>
      </c>
      <c r="O473" t="s">
        <v>74</v>
      </c>
      <c r="P473" t="s">
        <v>74</v>
      </c>
      <c r="Q473" t="s">
        <v>74</v>
      </c>
      <c r="R473" t="s">
        <v>74</v>
      </c>
      <c r="S473" t="s">
        <v>74</v>
      </c>
      <c r="T473" t="s">
        <v>7054</v>
      </c>
      <c r="U473" t="s">
        <v>7055</v>
      </c>
      <c r="V473" t="s">
        <v>7056</v>
      </c>
      <c r="W473" t="s">
        <v>7057</v>
      </c>
      <c r="X473" t="s">
        <v>7058</v>
      </c>
      <c r="Y473" t="s">
        <v>7059</v>
      </c>
      <c r="Z473" t="s">
        <v>7060</v>
      </c>
      <c r="AA473" t="s">
        <v>7061</v>
      </c>
      <c r="AB473" t="s">
        <v>7062</v>
      </c>
      <c r="AC473" t="s">
        <v>74</v>
      </c>
      <c r="AD473" t="s">
        <v>74</v>
      </c>
      <c r="AE473" t="s">
        <v>74</v>
      </c>
      <c r="AF473" t="s">
        <v>74</v>
      </c>
      <c r="AG473">
        <v>13</v>
      </c>
      <c r="AH473">
        <v>46</v>
      </c>
      <c r="AI473">
        <v>48</v>
      </c>
      <c r="AJ473">
        <v>4</v>
      </c>
      <c r="AK473">
        <v>9</v>
      </c>
      <c r="AL473" t="s">
        <v>239</v>
      </c>
      <c r="AM473" t="s">
        <v>240</v>
      </c>
      <c r="AN473" t="s">
        <v>241</v>
      </c>
      <c r="AO473" t="s">
        <v>242</v>
      </c>
      <c r="AP473" t="s">
        <v>341</v>
      </c>
      <c r="AQ473" t="s">
        <v>74</v>
      </c>
      <c r="AR473" t="s">
        <v>243</v>
      </c>
      <c r="AS473" t="s">
        <v>244</v>
      </c>
      <c r="AT473" t="s">
        <v>7063</v>
      </c>
      <c r="AU473">
        <v>2004</v>
      </c>
      <c r="AV473">
        <v>31</v>
      </c>
      <c r="AW473">
        <v>16</v>
      </c>
      <c r="AX473" t="s">
        <v>74</v>
      </c>
      <c r="AY473" t="s">
        <v>74</v>
      </c>
      <c r="AZ473" t="s">
        <v>74</v>
      </c>
      <c r="BA473" t="s">
        <v>74</v>
      </c>
      <c r="BB473" t="s">
        <v>74</v>
      </c>
      <c r="BC473" t="s">
        <v>74</v>
      </c>
      <c r="BD473" t="s">
        <v>7064</v>
      </c>
      <c r="BE473" t="s">
        <v>7065</v>
      </c>
      <c r="BF473" t="str">
        <f>HYPERLINK("http://dx.doi.org/10.1029/2004GL019789","http://dx.doi.org/10.1029/2004GL019789")</f>
        <v>http://dx.doi.org/10.1029/2004GL019789</v>
      </c>
      <c r="BG473" t="s">
        <v>74</v>
      </c>
      <c r="BH473" t="s">
        <v>74</v>
      </c>
      <c r="BI473">
        <v>4</v>
      </c>
      <c r="BJ473" t="s">
        <v>248</v>
      </c>
      <c r="BK473" t="s">
        <v>139</v>
      </c>
      <c r="BL473" t="s">
        <v>249</v>
      </c>
      <c r="BM473" t="s">
        <v>7066</v>
      </c>
      <c r="BN473" t="s">
        <v>74</v>
      </c>
      <c r="BO473" t="s">
        <v>273</v>
      </c>
      <c r="BP473" t="s">
        <v>74</v>
      </c>
      <c r="BQ473" t="s">
        <v>74</v>
      </c>
      <c r="BR473" t="s">
        <v>98</v>
      </c>
      <c r="BS473" t="s">
        <v>7067</v>
      </c>
      <c r="BT473" t="str">
        <f>HYPERLINK("https%3A%2F%2Fwww.webofscience.com%2Fwos%2Fwoscc%2Ffull-record%2FWOS:000223543900002","View Full Record in Web of Science")</f>
        <v>View Full Record in Web of Science</v>
      </c>
    </row>
    <row r="474" spans="1:72" x14ac:dyDescent="0.15">
      <c r="A474" t="s">
        <v>122</v>
      </c>
      <c r="B474" t="s">
        <v>7068</v>
      </c>
      <c r="C474" t="s">
        <v>74</v>
      </c>
      <c r="D474" t="s">
        <v>74</v>
      </c>
      <c r="E474" t="s">
        <v>74</v>
      </c>
      <c r="F474" t="s">
        <v>7068</v>
      </c>
      <c r="G474" t="s">
        <v>74</v>
      </c>
      <c r="H474" t="s">
        <v>74</v>
      </c>
      <c r="I474" t="s">
        <v>7069</v>
      </c>
      <c r="J474" t="s">
        <v>7070</v>
      </c>
      <c r="K474" t="s">
        <v>74</v>
      </c>
      <c r="L474" t="s">
        <v>74</v>
      </c>
      <c r="M474" t="s">
        <v>79</v>
      </c>
      <c r="N474" t="s">
        <v>126</v>
      </c>
      <c r="O474" t="s">
        <v>74</v>
      </c>
      <c r="P474" t="s">
        <v>74</v>
      </c>
      <c r="Q474" t="s">
        <v>74</v>
      </c>
      <c r="R474" t="s">
        <v>74</v>
      </c>
      <c r="S474" t="s">
        <v>74</v>
      </c>
      <c r="T474" t="s">
        <v>7071</v>
      </c>
      <c r="U474" t="s">
        <v>7072</v>
      </c>
      <c r="V474" t="s">
        <v>7073</v>
      </c>
      <c r="W474" t="s">
        <v>7074</v>
      </c>
      <c r="X474" t="s">
        <v>7075</v>
      </c>
      <c r="Y474" t="s">
        <v>7076</v>
      </c>
      <c r="Z474" t="s">
        <v>7077</v>
      </c>
      <c r="AA474" t="s">
        <v>74</v>
      </c>
      <c r="AB474" t="s">
        <v>7078</v>
      </c>
      <c r="AC474" t="s">
        <v>74</v>
      </c>
      <c r="AD474" t="s">
        <v>74</v>
      </c>
      <c r="AE474" t="s">
        <v>74</v>
      </c>
      <c r="AF474" t="s">
        <v>74</v>
      </c>
      <c r="AG474">
        <v>32</v>
      </c>
      <c r="AH474">
        <v>44</v>
      </c>
      <c r="AI474">
        <v>49</v>
      </c>
      <c r="AJ474">
        <v>0</v>
      </c>
      <c r="AK474">
        <v>6</v>
      </c>
      <c r="AL474" t="s">
        <v>531</v>
      </c>
      <c r="AM474" t="s">
        <v>532</v>
      </c>
      <c r="AN474" t="s">
        <v>533</v>
      </c>
      <c r="AO474" t="s">
        <v>7079</v>
      </c>
      <c r="AP474" t="s">
        <v>7080</v>
      </c>
      <c r="AQ474" t="s">
        <v>74</v>
      </c>
      <c r="AR474" t="s">
        <v>7081</v>
      </c>
      <c r="AS474" t="s">
        <v>7082</v>
      </c>
      <c r="AT474" t="s">
        <v>7083</v>
      </c>
      <c r="AU474">
        <v>2004</v>
      </c>
      <c r="AV474">
        <v>30</v>
      </c>
      <c r="AW474" t="s">
        <v>538</v>
      </c>
      <c r="AX474" t="s">
        <v>74</v>
      </c>
      <c r="AY474" t="s">
        <v>74</v>
      </c>
      <c r="AZ474" t="s">
        <v>74</v>
      </c>
      <c r="BA474" t="s">
        <v>74</v>
      </c>
      <c r="BB474">
        <v>109</v>
      </c>
      <c r="BC474">
        <v>118</v>
      </c>
      <c r="BD474" t="s">
        <v>74</v>
      </c>
      <c r="BE474" t="s">
        <v>7084</v>
      </c>
      <c r="BF474" t="str">
        <f>HYPERLINK("http://dx.doi.org/10.1016/j.molcatb.2004.04.002","http://dx.doi.org/10.1016/j.molcatb.2004.04.002")</f>
        <v>http://dx.doi.org/10.1016/j.molcatb.2004.04.002</v>
      </c>
      <c r="BG474" t="s">
        <v>74</v>
      </c>
      <c r="BH474" t="s">
        <v>74</v>
      </c>
      <c r="BI474">
        <v>10</v>
      </c>
      <c r="BJ474" t="s">
        <v>7085</v>
      </c>
      <c r="BK474" t="s">
        <v>139</v>
      </c>
      <c r="BL474" t="s">
        <v>5487</v>
      </c>
      <c r="BM474" t="s">
        <v>7086</v>
      </c>
      <c r="BN474" t="s">
        <v>74</v>
      </c>
      <c r="BO474" t="s">
        <v>329</v>
      </c>
      <c r="BP474" t="s">
        <v>74</v>
      </c>
      <c r="BQ474" t="s">
        <v>74</v>
      </c>
      <c r="BR474" t="s">
        <v>98</v>
      </c>
      <c r="BS474" t="s">
        <v>7087</v>
      </c>
      <c r="BT474" t="str">
        <f>HYPERLINK("https%3A%2F%2Fwww.webofscience.com%2Fwos%2Fwoscc%2Ffull-record%2FWOS:000223126000002","View Full Record in Web of Science")</f>
        <v>View Full Record in Web of Science</v>
      </c>
    </row>
    <row r="475" spans="1:72" x14ac:dyDescent="0.15">
      <c r="A475" t="s">
        <v>122</v>
      </c>
      <c r="B475" t="s">
        <v>7088</v>
      </c>
      <c r="C475" t="s">
        <v>74</v>
      </c>
      <c r="D475" t="s">
        <v>74</v>
      </c>
      <c r="E475" t="s">
        <v>74</v>
      </c>
      <c r="F475" t="s">
        <v>7088</v>
      </c>
      <c r="G475" t="s">
        <v>74</v>
      </c>
      <c r="H475" t="s">
        <v>74</v>
      </c>
      <c r="I475" t="s">
        <v>7089</v>
      </c>
      <c r="J475" t="s">
        <v>603</v>
      </c>
      <c r="K475" t="s">
        <v>74</v>
      </c>
      <c r="L475" t="s">
        <v>74</v>
      </c>
      <c r="M475" t="s">
        <v>79</v>
      </c>
      <c r="N475" t="s">
        <v>126</v>
      </c>
      <c r="O475" t="s">
        <v>74</v>
      </c>
      <c r="P475" t="s">
        <v>74</v>
      </c>
      <c r="Q475" t="s">
        <v>74</v>
      </c>
      <c r="R475" t="s">
        <v>74</v>
      </c>
      <c r="S475" t="s">
        <v>74</v>
      </c>
      <c r="T475" t="s">
        <v>7090</v>
      </c>
      <c r="U475" t="s">
        <v>7091</v>
      </c>
      <c r="V475" t="s">
        <v>7092</v>
      </c>
      <c r="W475" t="s">
        <v>7093</v>
      </c>
      <c r="X475" t="s">
        <v>7094</v>
      </c>
      <c r="Y475" t="s">
        <v>7095</v>
      </c>
      <c r="Z475" t="s">
        <v>7096</v>
      </c>
      <c r="AA475" t="s">
        <v>7097</v>
      </c>
      <c r="AB475" t="s">
        <v>7098</v>
      </c>
      <c r="AC475" t="s">
        <v>74</v>
      </c>
      <c r="AD475" t="s">
        <v>74</v>
      </c>
      <c r="AE475" t="s">
        <v>74</v>
      </c>
      <c r="AF475" t="s">
        <v>74</v>
      </c>
      <c r="AG475">
        <v>37</v>
      </c>
      <c r="AH475">
        <v>91</v>
      </c>
      <c r="AI475">
        <v>102</v>
      </c>
      <c r="AJ475">
        <v>3</v>
      </c>
      <c r="AK475">
        <v>34</v>
      </c>
      <c r="AL475" t="s">
        <v>612</v>
      </c>
      <c r="AM475" t="s">
        <v>613</v>
      </c>
      <c r="AN475" t="s">
        <v>614</v>
      </c>
      <c r="AO475" t="s">
        <v>615</v>
      </c>
      <c r="AP475" t="s">
        <v>616</v>
      </c>
      <c r="AQ475" t="s">
        <v>74</v>
      </c>
      <c r="AR475" t="s">
        <v>617</v>
      </c>
      <c r="AS475" t="s">
        <v>618</v>
      </c>
      <c r="AT475" t="s">
        <v>7099</v>
      </c>
      <c r="AU475">
        <v>2004</v>
      </c>
      <c r="AV475">
        <v>92</v>
      </c>
      <c r="AW475">
        <v>2</v>
      </c>
      <c r="AX475" t="s">
        <v>74</v>
      </c>
      <c r="AY475" t="s">
        <v>74</v>
      </c>
      <c r="AZ475" t="s">
        <v>74</v>
      </c>
      <c r="BA475" t="s">
        <v>74</v>
      </c>
      <c r="BB475">
        <v>181</v>
      </c>
      <c r="BC475">
        <v>194</v>
      </c>
      <c r="BD475" t="s">
        <v>74</v>
      </c>
      <c r="BE475" t="s">
        <v>7100</v>
      </c>
      <c r="BF475" t="str">
        <f>HYPERLINK("http://dx.doi.org/10.1016/j.rse.2004.06.004","http://dx.doi.org/10.1016/j.rse.2004.06.004")</f>
        <v>http://dx.doi.org/10.1016/j.rse.2004.06.004</v>
      </c>
      <c r="BG475" t="s">
        <v>74</v>
      </c>
      <c r="BH475" t="s">
        <v>74</v>
      </c>
      <c r="BI475">
        <v>14</v>
      </c>
      <c r="BJ475" t="s">
        <v>620</v>
      </c>
      <c r="BK475" t="s">
        <v>139</v>
      </c>
      <c r="BL475" t="s">
        <v>621</v>
      </c>
      <c r="BM475" t="s">
        <v>7101</v>
      </c>
      <c r="BN475" t="s">
        <v>74</v>
      </c>
      <c r="BO475" t="s">
        <v>74</v>
      </c>
      <c r="BP475" t="s">
        <v>74</v>
      </c>
      <c r="BQ475" t="s">
        <v>74</v>
      </c>
      <c r="BR475" t="s">
        <v>98</v>
      </c>
      <c r="BS475" t="s">
        <v>7102</v>
      </c>
      <c r="BT475" t="str">
        <f>HYPERLINK("https%3A%2F%2Fwww.webofscience.com%2Fwos%2Fwoscc%2Ffull-record%2FWOS:000223568200005","View Full Record in Web of Science")</f>
        <v>View Full Record in Web of Science</v>
      </c>
    </row>
    <row r="476" spans="1:72" x14ac:dyDescent="0.15">
      <c r="A476" t="s">
        <v>122</v>
      </c>
      <c r="B476" t="s">
        <v>7103</v>
      </c>
      <c r="C476" t="s">
        <v>74</v>
      </c>
      <c r="D476" t="s">
        <v>74</v>
      </c>
      <c r="E476" t="s">
        <v>74</v>
      </c>
      <c r="F476" t="s">
        <v>7103</v>
      </c>
      <c r="G476" t="s">
        <v>74</v>
      </c>
      <c r="H476" t="s">
        <v>74</v>
      </c>
      <c r="I476" t="s">
        <v>7104</v>
      </c>
      <c r="J476" t="s">
        <v>230</v>
      </c>
      <c r="K476" t="s">
        <v>74</v>
      </c>
      <c r="L476" t="s">
        <v>74</v>
      </c>
      <c r="M476" t="s">
        <v>79</v>
      </c>
      <c r="N476" t="s">
        <v>126</v>
      </c>
      <c r="O476" t="s">
        <v>74</v>
      </c>
      <c r="P476" t="s">
        <v>74</v>
      </c>
      <c r="Q476" t="s">
        <v>74</v>
      </c>
      <c r="R476" t="s">
        <v>74</v>
      </c>
      <c r="S476" t="s">
        <v>74</v>
      </c>
      <c r="T476" t="s">
        <v>74</v>
      </c>
      <c r="U476" t="s">
        <v>7105</v>
      </c>
      <c r="V476" t="s">
        <v>7106</v>
      </c>
      <c r="W476" t="s">
        <v>7107</v>
      </c>
      <c r="X476" t="s">
        <v>7108</v>
      </c>
      <c r="Y476" t="s">
        <v>7109</v>
      </c>
      <c r="Z476" t="s">
        <v>7110</v>
      </c>
      <c r="AA476" t="s">
        <v>7111</v>
      </c>
      <c r="AB476" t="s">
        <v>7112</v>
      </c>
      <c r="AC476" t="s">
        <v>74</v>
      </c>
      <c r="AD476" t="s">
        <v>74</v>
      </c>
      <c r="AE476" t="s">
        <v>74</v>
      </c>
      <c r="AF476" t="s">
        <v>74</v>
      </c>
      <c r="AG476">
        <v>26</v>
      </c>
      <c r="AH476">
        <v>68</v>
      </c>
      <c r="AI476">
        <v>77</v>
      </c>
      <c r="AJ476">
        <v>1</v>
      </c>
      <c r="AK476">
        <v>14</v>
      </c>
      <c r="AL476" t="s">
        <v>239</v>
      </c>
      <c r="AM476" t="s">
        <v>240</v>
      </c>
      <c r="AN476" t="s">
        <v>241</v>
      </c>
      <c r="AO476" t="s">
        <v>242</v>
      </c>
      <c r="AP476" t="s">
        <v>341</v>
      </c>
      <c r="AQ476" t="s">
        <v>74</v>
      </c>
      <c r="AR476" t="s">
        <v>243</v>
      </c>
      <c r="AS476" t="s">
        <v>244</v>
      </c>
      <c r="AT476" t="s">
        <v>7113</v>
      </c>
      <c r="AU476">
        <v>2004</v>
      </c>
      <c r="AV476">
        <v>31</v>
      </c>
      <c r="AW476">
        <v>15</v>
      </c>
      <c r="AX476" t="s">
        <v>74</v>
      </c>
      <c r="AY476" t="s">
        <v>74</v>
      </c>
      <c r="AZ476" t="s">
        <v>74</v>
      </c>
      <c r="BA476" t="s">
        <v>74</v>
      </c>
      <c r="BB476" t="s">
        <v>74</v>
      </c>
      <c r="BC476" t="s">
        <v>74</v>
      </c>
      <c r="BD476" t="s">
        <v>7114</v>
      </c>
      <c r="BE476" t="s">
        <v>7115</v>
      </c>
      <c r="BF476" t="str">
        <f>HYPERLINK("http://dx.doi.org/10.1029/2004GL020749","http://dx.doi.org/10.1029/2004GL020749")</f>
        <v>http://dx.doi.org/10.1029/2004GL020749</v>
      </c>
      <c r="BG476" t="s">
        <v>74</v>
      </c>
      <c r="BH476" t="s">
        <v>74</v>
      </c>
      <c r="BI476">
        <v>4</v>
      </c>
      <c r="BJ476" t="s">
        <v>248</v>
      </c>
      <c r="BK476" t="s">
        <v>139</v>
      </c>
      <c r="BL476" t="s">
        <v>249</v>
      </c>
      <c r="BM476" t="s">
        <v>7116</v>
      </c>
      <c r="BN476" t="s">
        <v>74</v>
      </c>
      <c r="BO476" t="s">
        <v>329</v>
      </c>
      <c r="BP476" t="s">
        <v>74</v>
      </c>
      <c r="BQ476" t="s">
        <v>74</v>
      </c>
      <c r="BR476" t="s">
        <v>98</v>
      </c>
      <c r="BS476" t="s">
        <v>7117</v>
      </c>
      <c r="BT476" t="str">
        <f>HYPERLINK("https%3A%2F%2Fwww.webofscience.com%2Fwos%2Fwoscc%2Ffull-record%2FWOS:000223342600007","View Full Record in Web of Science")</f>
        <v>View Full Record in Web of Science</v>
      </c>
    </row>
    <row r="477" spans="1:72" x14ac:dyDescent="0.15">
      <c r="A477" t="s">
        <v>122</v>
      </c>
      <c r="B477" t="s">
        <v>7118</v>
      </c>
      <c r="C477" t="s">
        <v>74</v>
      </c>
      <c r="D477" t="s">
        <v>74</v>
      </c>
      <c r="E477" t="s">
        <v>74</v>
      </c>
      <c r="F477" t="s">
        <v>7118</v>
      </c>
      <c r="G477" t="s">
        <v>74</v>
      </c>
      <c r="H477" t="s">
        <v>74</v>
      </c>
      <c r="I477" t="s">
        <v>7119</v>
      </c>
      <c r="J477" t="s">
        <v>230</v>
      </c>
      <c r="K477" t="s">
        <v>74</v>
      </c>
      <c r="L477" t="s">
        <v>74</v>
      </c>
      <c r="M477" t="s">
        <v>79</v>
      </c>
      <c r="N477" t="s">
        <v>126</v>
      </c>
      <c r="O477" t="s">
        <v>74</v>
      </c>
      <c r="P477" t="s">
        <v>74</v>
      </c>
      <c r="Q477" t="s">
        <v>74</v>
      </c>
      <c r="R477" t="s">
        <v>74</v>
      </c>
      <c r="S477" t="s">
        <v>74</v>
      </c>
      <c r="T477" t="s">
        <v>74</v>
      </c>
      <c r="U477" t="s">
        <v>7120</v>
      </c>
      <c r="V477" t="s">
        <v>7121</v>
      </c>
      <c r="W477" t="s">
        <v>7122</v>
      </c>
      <c r="X477" t="s">
        <v>7123</v>
      </c>
      <c r="Y477" t="s">
        <v>7124</v>
      </c>
      <c r="Z477" t="s">
        <v>7125</v>
      </c>
      <c r="AA477" t="s">
        <v>7126</v>
      </c>
      <c r="AB477" t="s">
        <v>7127</v>
      </c>
      <c r="AC477" t="s">
        <v>6877</v>
      </c>
      <c r="AD477" t="s">
        <v>635</v>
      </c>
      <c r="AE477" t="s">
        <v>74</v>
      </c>
      <c r="AF477" t="s">
        <v>74</v>
      </c>
      <c r="AG477">
        <v>13</v>
      </c>
      <c r="AH477">
        <v>21</v>
      </c>
      <c r="AI477">
        <v>24</v>
      </c>
      <c r="AJ477">
        <v>0</v>
      </c>
      <c r="AK477">
        <v>6</v>
      </c>
      <c r="AL477" t="s">
        <v>239</v>
      </c>
      <c r="AM477" t="s">
        <v>240</v>
      </c>
      <c r="AN477" t="s">
        <v>241</v>
      </c>
      <c r="AO477" t="s">
        <v>242</v>
      </c>
      <c r="AP477" t="s">
        <v>341</v>
      </c>
      <c r="AQ477" t="s">
        <v>74</v>
      </c>
      <c r="AR477" t="s">
        <v>243</v>
      </c>
      <c r="AS477" t="s">
        <v>244</v>
      </c>
      <c r="AT477" t="s">
        <v>7128</v>
      </c>
      <c r="AU477">
        <v>2004</v>
      </c>
      <c r="AV477">
        <v>31</v>
      </c>
      <c r="AW477">
        <v>15</v>
      </c>
      <c r="AX477" t="s">
        <v>74</v>
      </c>
      <c r="AY477" t="s">
        <v>74</v>
      </c>
      <c r="AZ477" t="s">
        <v>74</v>
      </c>
      <c r="BA477" t="s">
        <v>74</v>
      </c>
      <c r="BB477" t="s">
        <v>74</v>
      </c>
      <c r="BC477" t="s">
        <v>74</v>
      </c>
      <c r="BD477" t="s">
        <v>7129</v>
      </c>
      <c r="BE477" t="s">
        <v>7130</v>
      </c>
      <c r="BF477" t="str">
        <f>HYPERLINK("http://dx.doi.org/10.1029/2004GL020472","http://dx.doi.org/10.1029/2004GL020472")</f>
        <v>http://dx.doi.org/10.1029/2004GL020472</v>
      </c>
      <c r="BG477" t="s">
        <v>74</v>
      </c>
      <c r="BH477" t="s">
        <v>74</v>
      </c>
      <c r="BI477">
        <v>4</v>
      </c>
      <c r="BJ477" t="s">
        <v>248</v>
      </c>
      <c r="BK477" t="s">
        <v>139</v>
      </c>
      <c r="BL477" t="s">
        <v>249</v>
      </c>
      <c r="BM477" t="s">
        <v>7131</v>
      </c>
      <c r="BN477" t="s">
        <v>74</v>
      </c>
      <c r="BO477" t="s">
        <v>273</v>
      </c>
      <c r="BP477" t="s">
        <v>74</v>
      </c>
      <c r="BQ477" t="s">
        <v>74</v>
      </c>
      <c r="BR477" t="s">
        <v>98</v>
      </c>
      <c r="BS477" t="s">
        <v>7132</v>
      </c>
      <c r="BT477" t="str">
        <f>HYPERLINK("https%3A%2F%2Fwww.webofscience.com%2Fwos%2Fwoscc%2Ffull-record%2FWOS:000223342400004","View Full Record in Web of Science")</f>
        <v>View Full Record in Web of Science</v>
      </c>
    </row>
    <row r="478" spans="1:72" x14ac:dyDescent="0.15">
      <c r="A478" t="s">
        <v>122</v>
      </c>
      <c r="B478" t="s">
        <v>7133</v>
      </c>
      <c r="C478" t="s">
        <v>74</v>
      </c>
      <c r="D478" t="s">
        <v>74</v>
      </c>
      <c r="E478" t="s">
        <v>74</v>
      </c>
      <c r="F478" t="s">
        <v>7133</v>
      </c>
      <c r="G478" t="s">
        <v>74</v>
      </c>
      <c r="H478" t="s">
        <v>74</v>
      </c>
      <c r="I478" t="s">
        <v>7134</v>
      </c>
      <c r="J478" t="s">
        <v>230</v>
      </c>
      <c r="K478" t="s">
        <v>74</v>
      </c>
      <c r="L478" t="s">
        <v>74</v>
      </c>
      <c r="M478" t="s">
        <v>79</v>
      </c>
      <c r="N478" t="s">
        <v>126</v>
      </c>
      <c r="O478" t="s">
        <v>74</v>
      </c>
      <c r="P478" t="s">
        <v>74</v>
      </c>
      <c r="Q478" t="s">
        <v>74</v>
      </c>
      <c r="R478" t="s">
        <v>74</v>
      </c>
      <c r="S478" t="s">
        <v>74</v>
      </c>
      <c r="T478" t="s">
        <v>74</v>
      </c>
      <c r="U478" t="s">
        <v>7135</v>
      </c>
      <c r="V478" t="s">
        <v>7136</v>
      </c>
      <c r="W478" t="s">
        <v>7137</v>
      </c>
      <c r="X478" t="s">
        <v>7138</v>
      </c>
      <c r="Y478" t="s">
        <v>7139</v>
      </c>
      <c r="Z478" t="s">
        <v>7140</v>
      </c>
      <c r="AA478" t="s">
        <v>7141</v>
      </c>
      <c r="AB478" t="s">
        <v>7142</v>
      </c>
      <c r="AC478" t="s">
        <v>74</v>
      </c>
      <c r="AD478" t="s">
        <v>74</v>
      </c>
      <c r="AE478" t="s">
        <v>74</v>
      </c>
      <c r="AF478" t="s">
        <v>74</v>
      </c>
      <c r="AG478">
        <v>26</v>
      </c>
      <c r="AH478">
        <v>28</v>
      </c>
      <c r="AI478">
        <v>29</v>
      </c>
      <c r="AJ478">
        <v>1</v>
      </c>
      <c r="AK478">
        <v>6</v>
      </c>
      <c r="AL478" t="s">
        <v>239</v>
      </c>
      <c r="AM478" t="s">
        <v>240</v>
      </c>
      <c r="AN478" t="s">
        <v>241</v>
      </c>
      <c r="AO478" t="s">
        <v>242</v>
      </c>
      <c r="AP478" t="s">
        <v>341</v>
      </c>
      <c r="AQ478" t="s">
        <v>74</v>
      </c>
      <c r="AR478" t="s">
        <v>243</v>
      </c>
      <c r="AS478" t="s">
        <v>244</v>
      </c>
      <c r="AT478" t="s">
        <v>7143</v>
      </c>
      <c r="AU478">
        <v>2004</v>
      </c>
      <c r="AV478">
        <v>31</v>
      </c>
      <c r="AW478">
        <v>15</v>
      </c>
      <c r="AX478" t="s">
        <v>74</v>
      </c>
      <c r="AY478" t="s">
        <v>74</v>
      </c>
      <c r="AZ478" t="s">
        <v>74</v>
      </c>
      <c r="BA478" t="s">
        <v>74</v>
      </c>
      <c r="BB478" t="s">
        <v>74</v>
      </c>
      <c r="BC478" t="s">
        <v>74</v>
      </c>
      <c r="BD478" t="s">
        <v>7144</v>
      </c>
      <c r="BE478" t="s">
        <v>7145</v>
      </c>
      <c r="BF478" t="str">
        <f>HYPERLINK("http://dx.doi.org/10.1029/2004GL020236","http://dx.doi.org/10.1029/2004GL020236")</f>
        <v>http://dx.doi.org/10.1029/2004GL020236</v>
      </c>
      <c r="BG478" t="s">
        <v>74</v>
      </c>
      <c r="BH478" t="s">
        <v>74</v>
      </c>
      <c r="BI478">
        <v>4</v>
      </c>
      <c r="BJ478" t="s">
        <v>248</v>
      </c>
      <c r="BK478" t="s">
        <v>139</v>
      </c>
      <c r="BL478" t="s">
        <v>249</v>
      </c>
      <c r="BM478" t="s">
        <v>7146</v>
      </c>
      <c r="BN478" t="s">
        <v>74</v>
      </c>
      <c r="BO478" t="s">
        <v>273</v>
      </c>
      <c r="BP478" t="s">
        <v>74</v>
      </c>
      <c r="BQ478" t="s">
        <v>74</v>
      </c>
      <c r="BR478" t="s">
        <v>98</v>
      </c>
      <c r="BS478" t="s">
        <v>7147</v>
      </c>
      <c r="BT478" t="str">
        <f>HYPERLINK("https%3A%2F%2Fwww.webofscience.com%2Fwos%2Fwoscc%2Ffull-record%2FWOS:000223342300005","View Full Record in Web of Science")</f>
        <v>View Full Record in Web of Science</v>
      </c>
    </row>
    <row r="479" spans="1:72" x14ac:dyDescent="0.15">
      <c r="A479" t="s">
        <v>122</v>
      </c>
      <c r="B479" t="s">
        <v>7148</v>
      </c>
      <c r="C479" t="s">
        <v>74</v>
      </c>
      <c r="D479" t="s">
        <v>74</v>
      </c>
      <c r="E479" t="s">
        <v>74</v>
      </c>
      <c r="F479" t="s">
        <v>7148</v>
      </c>
      <c r="G479" t="s">
        <v>74</v>
      </c>
      <c r="H479" t="s">
        <v>74</v>
      </c>
      <c r="I479" t="s">
        <v>7149</v>
      </c>
      <c r="J479" t="s">
        <v>665</v>
      </c>
      <c r="K479" t="s">
        <v>74</v>
      </c>
      <c r="L479" t="s">
        <v>74</v>
      </c>
      <c r="M479" t="s">
        <v>79</v>
      </c>
      <c r="N479" t="s">
        <v>126</v>
      </c>
      <c r="O479" t="s">
        <v>74</v>
      </c>
      <c r="P479" t="s">
        <v>74</v>
      </c>
      <c r="Q479" t="s">
        <v>74</v>
      </c>
      <c r="R479" t="s">
        <v>74</v>
      </c>
      <c r="S479" t="s">
        <v>74</v>
      </c>
      <c r="T479" t="s">
        <v>7150</v>
      </c>
      <c r="U479" t="s">
        <v>7151</v>
      </c>
      <c r="V479" t="s">
        <v>7152</v>
      </c>
      <c r="W479" t="s">
        <v>7153</v>
      </c>
      <c r="X479" t="s">
        <v>7154</v>
      </c>
      <c r="Y479" t="s">
        <v>7155</v>
      </c>
      <c r="Z479" t="s">
        <v>7156</v>
      </c>
      <c r="AA479" t="s">
        <v>7157</v>
      </c>
      <c r="AB479" t="s">
        <v>7158</v>
      </c>
      <c r="AC479" t="s">
        <v>74</v>
      </c>
      <c r="AD479" t="s">
        <v>74</v>
      </c>
      <c r="AE479" t="s">
        <v>74</v>
      </c>
      <c r="AF479" t="s">
        <v>74</v>
      </c>
      <c r="AG479">
        <v>52</v>
      </c>
      <c r="AH479">
        <v>12</v>
      </c>
      <c r="AI479">
        <v>13</v>
      </c>
      <c r="AJ479">
        <v>0</v>
      </c>
      <c r="AK479">
        <v>8</v>
      </c>
      <c r="AL479" t="s">
        <v>239</v>
      </c>
      <c r="AM479" t="s">
        <v>240</v>
      </c>
      <c r="AN479" t="s">
        <v>241</v>
      </c>
      <c r="AO479" t="s">
        <v>674</v>
      </c>
      <c r="AP479" t="s">
        <v>675</v>
      </c>
      <c r="AQ479" t="s">
        <v>74</v>
      </c>
      <c r="AR479" t="s">
        <v>676</v>
      </c>
      <c r="AS479" t="s">
        <v>677</v>
      </c>
      <c r="AT479" t="s">
        <v>7143</v>
      </c>
      <c r="AU479">
        <v>2004</v>
      </c>
      <c r="AV479">
        <v>109</v>
      </c>
      <c r="AW479" t="s">
        <v>7159</v>
      </c>
      <c r="AX479" t="s">
        <v>74</v>
      </c>
      <c r="AY479" t="s">
        <v>74</v>
      </c>
      <c r="AZ479" t="s">
        <v>74</v>
      </c>
      <c r="BA479" t="s">
        <v>74</v>
      </c>
      <c r="BB479" t="s">
        <v>74</v>
      </c>
      <c r="BC479" t="s">
        <v>74</v>
      </c>
      <c r="BD479" t="s">
        <v>7160</v>
      </c>
      <c r="BE479" t="s">
        <v>7161</v>
      </c>
      <c r="BF479" t="str">
        <f>HYPERLINK("http://dx.doi.org/10.1029/2003JB002721","http://dx.doi.org/10.1029/2003JB002721")</f>
        <v>http://dx.doi.org/10.1029/2003JB002721</v>
      </c>
      <c r="BG479" t="s">
        <v>74</v>
      </c>
      <c r="BH479" t="s">
        <v>74</v>
      </c>
      <c r="BI479">
        <v>13</v>
      </c>
      <c r="BJ479" t="s">
        <v>271</v>
      </c>
      <c r="BK479" t="s">
        <v>139</v>
      </c>
      <c r="BL479" t="s">
        <v>271</v>
      </c>
      <c r="BM479" t="s">
        <v>7162</v>
      </c>
      <c r="BN479" t="s">
        <v>74</v>
      </c>
      <c r="BO479" t="s">
        <v>273</v>
      </c>
      <c r="BP479" t="s">
        <v>74</v>
      </c>
      <c r="BQ479" t="s">
        <v>74</v>
      </c>
      <c r="BR479" t="s">
        <v>98</v>
      </c>
      <c r="BS479" t="s">
        <v>7163</v>
      </c>
      <c r="BT479" t="str">
        <f>HYPERLINK("https%3A%2F%2Fwww.webofscience.com%2Fwos%2Fwoscc%2Ffull-record%2FWOS:000223345200002","View Full Record in Web of Science")</f>
        <v>View Full Record in Web of Science</v>
      </c>
    </row>
    <row r="480" spans="1:72" x14ac:dyDescent="0.15">
      <c r="A480" t="s">
        <v>122</v>
      </c>
      <c r="B480" t="s">
        <v>7164</v>
      </c>
      <c r="C480" t="s">
        <v>74</v>
      </c>
      <c r="D480" t="s">
        <v>74</v>
      </c>
      <c r="E480" t="s">
        <v>74</v>
      </c>
      <c r="F480" t="s">
        <v>7164</v>
      </c>
      <c r="G480" t="s">
        <v>74</v>
      </c>
      <c r="H480" t="s">
        <v>74</v>
      </c>
      <c r="I480" t="s">
        <v>7165</v>
      </c>
      <c r="J480" t="s">
        <v>230</v>
      </c>
      <c r="K480" t="s">
        <v>74</v>
      </c>
      <c r="L480" t="s">
        <v>74</v>
      </c>
      <c r="M480" t="s">
        <v>79</v>
      </c>
      <c r="N480" t="s">
        <v>126</v>
      </c>
      <c r="O480" t="s">
        <v>74</v>
      </c>
      <c r="P480" t="s">
        <v>74</v>
      </c>
      <c r="Q480" t="s">
        <v>74</v>
      </c>
      <c r="R480" t="s">
        <v>74</v>
      </c>
      <c r="S480" t="s">
        <v>74</v>
      </c>
      <c r="T480" t="s">
        <v>74</v>
      </c>
      <c r="U480" t="s">
        <v>7166</v>
      </c>
      <c r="V480" t="s">
        <v>7167</v>
      </c>
      <c r="W480" t="s">
        <v>7168</v>
      </c>
      <c r="X480" t="s">
        <v>7169</v>
      </c>
      <c r="Y480" t="s">
        <v>7170</v>
      </c>
      <c r="Z480" t="s">
        <v>7171</v>
      </c>
      <c r="AA480" t="s">
        <v>7172</v>
      </c>
      <c r="AB480" t="s">
        <v>7173</v>
      </c>
      <c r="AC480" t="s">
        <v>74</v>
      </c>
      <c r="AD480" t="s">
        <v>74</v>
      </c>
      <c r="AE480" t="s">
        <v>74</v>
      </c>
      <c r="AF480" t="s">
        <v>74</v>
      </c>
      <c r="AG480">
        <v>13</v>
      </c>
      <c r="AH480">
        <v>33</v>
      </c>
      <c r="AI480">
        <v>37</v>
      </c>
      <c r="AJ480">
        <v>0</v>
      </c>
      <c r="AK480">
        <v>8</v>
      </c>
      <c r="AL480" t="s">
        <v>239</v>
      </c>
      <c r="AM480" t="s">
        <v>240</v>
      </c>
      <c r="AN480" t="s">
        <v>241</v>
      </c>
      <c r="AO480" t="s">
        <v>242</v>
      </c>
      <c r="AP480" t="s">
        <v>74</v>
      </c>
      <c r="AQ480" t="s">
        <v>74</v>
      </c>
      <c r="AR480" t="s">
        <v>243</v>
      </c>
      <c r="AS480" t="s">
        <v>244</v>
      </c>
      <c r="AT480" t="s">
        <v>7174</v>
      </c>
      <c r="AU480">
        <v>2004</v>
      </c>
      <c r="AV480">
        <v>31</v>
      </c>
      <c r="AW480">
        <v>15</v>
      </c>
      <c r="AX480" t="s">
        <v>74</v>
      </c>
      <c r="AY480" t="s">
        <v>74</v>
      </c>
      <c r="AZ480" t="s">
        <v>74</v>
      </c>
      <c r="BA480" t="s">
        <v>74</v>
      </c>
      <c r="BB480" t="s">
        <v>74</v>
      </c>
      <c r="BC480" t="s">
        <v>74</v>
      </c>
      <c r="BD480" t="s">
        <v>7175</v>
      </c>
      <c r="BE480" t="s">
        <v>7176</v>
      </c>
      <c r="BF480" t="str">
        <f>HYPERLINK("http://dx.doi.org/10.1029/2004GL020340","http://dx.doi.org/10.1029/2004GL020340")</f>
        <v>http://dx.doi.org/10.1029/2004GL020340</v>
      </c>
      <c r="BG480" t="s">
        <v>74</v>
      </c>
      <c r="BH480" t="s">
        <v>74</v>
      </c>
      <c r="BI480">
        <v>5</v>
      </c>
      <c r="BJ480" t="s">
        <v>248</v>
      </c>
      <c r="BK480" t="s">
        <v>139</v>
      </c>
      <c r="BL480" t="s">
        <v>249</v>
      </c>
      <c r="BM480" t="s">
        <v>7177</v>
      </c>
      <c r="BN480" t="s">
        <v>74</v>
      </c>
      <c r="BO480" t="s">
        <v>74</v>
      </c>
      <c r="BP480" t="s">
        <v>74</v>
      </c>
      <c r="BQ480" t="s">
        <v>74</v>
      </c>
      <c r="BR480" t="s">
        <v>98</v>
      </c>
      <c r="BS480" t="s">
        <v>7178</v>
      </c>
      <c r="BT480" t="str">
        <f>HYPERLINK("https%3A%2F%2Fwww.webofscience.com%2Fwos%2Fwoscc%2Ffull-record%2FWOS:000223335600006","View Full Record in Web of Science")</f>
        <v>View Full Record in Web of Science</v>
      </c>
    </row>
    <row r="481" spans="1:72" x14ac:dyDescent="0.15">
      <c r="A481" t="s">
        <v>122</v>
      </c>
      <c r="B481" t="s">
        <v>7179</v>
      </c>
      <c r="C481" t="s">
        <v>74</v>
      </c>
      <c r="D481" t="s">
        <v>74</v>
      </c>
      <c r="E481" t="s">
        <v>74</v>
      </c>
      <c r="F481" t="s">
        <v>7179</v>
      </c>
      <c r="G481" t="s">
        <v>74</v>
      </c>
      <c r="H481" t="s">
        <v>74</v>
      </c>
      <c r="I481" t="s">
        <v>7180</v>
      </c>
      <c r="J481" t="s">
        <v>277</v>
      </c>
      <c r="K481" t="s">
        <v>74</v>
      </c>
      <c r="L481" t="s">
        <v>74</v>
      </c>
      <c r="M481" t="s">
        <v>79</v>
      </c>
      <c r="N481" t="s">
        <v>126</v>
      </c>
      <c r="O481" t="s">
        <v>74</v>
      </c>
      <c r="P481" t="s">
        <v>74</v>
      </c>
      <c r="Q481" t="s">
        <v>74</v>
      </c>
      <c r="R481" t="s">
        <v>74</v>
      </c>
      <c r="S481" t="s">
        <v>74</v>
      </c>
      <c r="T481" t="s">
        <v>7181</v>
      </c>
      <c r="U481" t="s">
        <v>7182</v>
      </c>
      <c r="V481" t="s">
        <v>7183</v>
      </c>
      <c r="W481" t="s">
        <v>7184</v>
      </c>
      <c r="X481" t="s">
        <v>7185</v>
      </c>
      <c r="Y481" t="s">
        <v>7186</v>
      </c>
      <c r="Z481" t="s">
        <v>7187</v>
      </c>
      <c r="AA481" t="s">
        <v>7188</v>
      </c>
      <c r="AB481" t="s">
        <v>74</v>
      </c>
      <c r="AC481" t="s">
        <v>74</v>
      </c>
      <c r="AD481" t="s">
        <v>74</v>
      </c>
      <c r="AE481" t="s">
        <v>74</v>
      </c>
      <c r="AF481" t="s">
        <v>74</v>
      </c>
      <c r="AG481">
        <v>81</v>
      </c>
      <c r="AH481">
        <v>43</v>
      </c>
      <c r="AI481">
        <v>44</v>
      </c>
      <c r="AJ481">
        <v>0</v>
      </c>
      <c r="AK481">
        <v>3</v>
      </c>
      <c r="AL481" t="s">
        <v>239</v>
      </c>
      <c r="AM481" t="s">
        <v>240</v>
      </c>
      <c r="AN481" t="s">
        <v>241</v>
      </c>
      <c r="AO481" t="s">
        <v>284</v>
      </c>
      <c r="AP481" t="s">
        <v>74</v>
      </c>
      <c r="AQ481" t="s">
        <v>74</v>
      </c>
      <c r="AR481" t="s">
        <v>286</v>
      </c>
      <c r="AS481" t="s">
        <v>287</v>
      </c>
      <c r="AT481" t="s">
        <v>7174</v>
      </c>
      <c r="AU481">
        <v>2004</v>
      </c>
      <c r="AV481">
        <v>109</v>
      </c>
      <c r="AW481" t="s">
        <v>7189</v>
      </c>
      <c r="AX481" t="s">
        <v>74</v>
      </c>
      <c r="AY481" t="s">
        <v>74</v>
      </c>
      <c r="AZ481" t="s">
        <v>74</v>
      </c>
      <c r="BA481" t="s">
        <v>74</v>
      </c>
      <c r="BB481" t="s">
        <v>74</v>
      </c>
      <c r="BC481" t="s">
        <v>74</v>
      </c>
      <c r="BD481" t="s">
        <v>7190</v>
      </c>
      <c r="BE481" t="s">
        <v>7191</v>
      </c>
      <c r="BF481" t="str">
        <f>HYPERLINK("http://dx.doi.org/10.1029/2004JD004578","http://dx.doi.org/10.1029/2004JD004578")</f>
        <v>http://dx.doi.org/10.1029/2004JD004578</v>
      </c>
      <c r="BG481" t="s">
        <v>74</v>
      </c>
      <c r="BH481" t="s">
        <v>74</v>
      </c>
      <c r="BI481">
        <v>19</v>
      </c>
      <c r="BJ481" t="s">
        <v>291</v>
      </c>
      <c r="BK481" t="s">
        <v>139</v>
      </c>
      <c r="BL481" t="s">
        <v>291</v>
      </c>
      <c r="BM481" t="s">
        <v>7192</v>
      </c>
      <c r="BN481" t="s">
        <v>74</v>
      </c>
      <c r="BO481" t="s">
        <v>74</v>
      </c>
      <c r="BP481" t="s">
        <v>74</v>
      </c>
      <c r="BQ481" t="s">
        <v>74</v>
      </c>
      <c r="BR481" t="s">
        <v>98</v>
      </c>
      <c r="BS481" t="s">
        <v>7193</v>
      </c>
      <c r="BT481" t="str">
        <f>HYPERLINK("https%3A%2F%2Fwww.webofscience.com%2Fwos%2Fwoscc%2Ffull-record%2FWOS:000223336600005","View Full Record in Web of Science")</f>
        <v>View Full Record in Web of Science</v>
      </c>
    </row>
    <row r="482" spans="1:72" x14ac:dyDescent="0.15">
      <c r="A482" t="s">
        <v>122</v>
      </c>
      <c r="B482" t="s">
        <v>7194</v>
      </c>
      <c r="C482" t="s">
        <v>74</v>
      </c>
      <c r="D482" t="s">
        <v>74</v>
      </c>
      <c r="E482" t="s">
        <v>74</v>
      </c>
      <c r="F482" t="s">
        <v>7194</v>
      </c>
      <c r="G482" t="s">
        <v>74</v>
      </c>
      <c r="H482" t="s">
        <v>74</v>
      </c>
      <c r="I482" t="s">
        <v>7195</v>
      </c>
      <c r="J482" t="s">
        <v>790</v>
      </c>
      <c r="K482" t="s">
        <v>74</v>
      </c>
      <c r="L482" t="s">
        <v>74</v>
      </c>
      <c r="M482" t="s">
        <v>79</v>
      </c>
      <c r="N482" t="s">
        <v>126</v>
      </c>
      <c r="O482" t="s">
        <v>74</v>
      </c>
      <c r="P482" t="s">
        <v>74</v>
      </c>
      <c r="Q482" t="s">
        <v>74</v>
      </c>
      <c r="R482" t="s">
        <v>74</v>
      </c>
      <c r="S482" t="s">
        <v>74</v>
      </c>
      <c r="T482" t="s">
        <v>7196</v>
      </c>
      <c r="U482" t="s">
        <v>7197</v>
      </c>
      <c r="V482" t="s">
        <v>7198</v>
      </c>
      <c r="W482" t="s">
        <v>7199</v>
      </c>
      <c r="X482" t="s">
        <v>7200</v>
      </c>
      <c r="Y482" t="s">
        <v>7201</v>
      </c>
      <c r="Z482" t="s">
        <v>7202</v>
      </c>
      <c r="AA482" t="s">
        <v>7203</v>
      </c>
      <c r="AB482" t="s">
        <v>7204</v>
      </c>
      <c r="AC482" t="s">
        <v>74</v>
      </c>
      <c r="AD482" t="s">
        <v>74</v>
      </c>
      <c r="AE482" t="s">
        <v>74</v>
      </c>
      <c r="AF482" t="s">
        <v>74</v>
      </c>
      <c r="AG482">
        <v>43</v>
      </c>
      <c r="AH482">
        <v>172</v>
      </c>
      <c r="AI482">
        <v>193</v>
      </c>
      <c r="AJ482">
        <v>1</v>
      </c>
      <c r="AK482">
        <v>90</v>
      </c>
      <c r="AL482" t="s">
        <v>800</v>
      </c>
      <c r="AM482" t="s">
        <v>375</v>
      </c>
      <c r="AN482" t="s">
        <v>801</v>
      </c>
      <c r="AO482" t="s">
        <v>802</v>
      </c>
      <c r="AP482" t="s">
        <v>7205</v>
      </c>
      <c r="AQ482" t="s">
        <v>74</v>
      </c>
      <c r="AR482" t="s">
        <v>803</v>
      </c>
      <c r="AS482" t="s">
        <v>804</v>
      </c>
      <c r="AT482" t="s">
        <v>7174</v>
      </c>
      <c r="AU482">
        <v>2004</v>
      </c>
      <c r="AV482">
        <v>271</v>
      </c>
      <c r="AW482">
        <v>1548</v>
      </c>
      <c r="AX482" t="s">
        <v>74</v>
      </c>
      <c r="AY482" t="s">
        <v>74</v>
      </c>
      <c r="AZ482" t="s">
        <v>74</v>
      </c>
      <c r="BA482" t="s">
        <v>74</v>
      </c>
      <c r="BB482">
        <v>1571</v>
      </c>
      <c r="BC482">
        <v>1576</v>
      </c>
      <c r="BD482" t="s">
        <v>74</v>
      </c>
      <c r="BE482" t="s">
        <v>7206</v>
      </c>
      <c r="BF482" t="str">
        <f>HYPERLINK("http://dx.doi.org/10.1098/rspb.2004.2768","http://dx.doi.org/10.1098/rspb.2004.2768")</f>
        <v>http://dx.doi.org/10.1098/rspb.2004.2768</v>
      </c>
      <c r="BG482" t="s">
        <v>74</v>
      </c>
      <c r="BH482" t="s">
        <v>74</v>
      </c>
      <c r="BI482">
        <v>6</v>
      </c>
      <c r="BJ482" t="s">
        <v>809</v>
      </c>
      <c r="BK482" t="s">
        <v>139</v>
      </c>
      <c r="BL482" t="s">
        <v>810</v>
      </c>
      <c r="BM482" t="s">
        <v>7207</v>
      </c>
      <c r="BN482">
        <v>15306302</v>
      </c>
      <c r="BO482" t="s">
        <v>329</v>
      </c>
      <c r="BP482" t="s">
        <v>74</v>
      </c>
      <c r="BQ482" t="s">
        <v>74</v>
      </c>
      <c r="BR482" t="s">
        <v>98</v>
      </c>
      <c r="BS482" t="s">
        <v>7208</v>
      </c>
      <c r="BT482" t="str">
        <f>HYPERLINK("https%3A%2F%2Fwww.webofscience.com%2Fwos%2Fwoscc%2Ffull-record%2FWOS:000222995100004","View Full Record in Web of Science")</f>
        <v>View Full Record in Web of Science</v>
      </c>
    </row>
    <row r="483" spans="1:72" x14ac:dyDescent="0.15">
      <c r="A483" t="s">
        <v>122</v>
      </c>
      <c r="B483" t="s">
        <v>7209</v>
      </c>
      <c r="C483" t="s">
        <v>74</v>
      </c>
      <c r="D483" t="s">
        <v>74</v>
      </c>
      <c r="E483" t="s">
        <v>74</v>
      </c>
      <c r="F483" t="s">
        <v>7209</v>
      </c>
      <c r="G483" t="s">
        <v>74</v>
      </c>
      <c r="H483" t="s">
        <v>74</v>
      </c>
      <c r="I483" t="s">
        <v>7210</v>
      </c>
      <c r="J483" t="s">
        <v>790</v>
      </c>
      <c r="K483" t="s">
        <v>74</v>
      </c>
      <c r="L483" t="s">
        <v>74</v>
      </c>
      <c r="M483" t="s">
        <v>79</v>
      </c>
      <c r="N483" t="s">
        <v>126</v>
      </c>
      <c r="O483" t="s">
        <v>74</v>
      </c>
      <c r="P483" t="s">
        <v>74</v>
      </c>
      <c r="Q483" t="s">
        <v>74</v>
      </c>
      <c r="R483" t="s">
        <v>74</v>
      </c>
      <c r="S483" t="s">
        <v>74</v>
      </c>
      <c r="T483" t="s">
        <v>7211</v>
      </c>
      <c r="U483" t="s">
        <v>7212</v>
      </c>
      <c r="V483" t="s">
        <v>7213</v>
      </c>
      <c r="W483" t="s">
        <v>7214</v>
      </c>
      <c r="X483" t="s">
        <v>7215</v>
      </c>
      <c r="Y483" t="s">
        <v>7216</v>
      </c>
      <c r="Z483" t="s">
        <v>7217</v>
      </c>
      <c r="AA483" t="s">
        <v>74</v>
      </c>
      <c r="AB483" t="s">
        <v>7218</v>
      </c>
      <c r="AC483" t="s">
        <v>74</v>
      </c>
      <c r="AD483" t="s">
        <v>74</v>
      </c>
      <c r="AE483" t="s">
        <v>74</v>
      </c>
      <c r="AF483" t="s">
        <v>74</v>
      </c>
      <c r="AG483">
        <v>11</v>
      </c>
      <c r="AH483">
        <v>77</v>
      </c>
      <c r="AI483">
        <v>86</v>
      </c>
      <c r="AJ483">
        <v>2</v>
      </c>
      <c r="AK483">
        <v>38</v>
      </c>
      <c r="AL483" t="s">
        <v>800</v>
      </c>
      <c r="AM483" t="s">
        <v>375</v>
      </c>
      <c r="AN483" t="s">
        <v>801</v>
      </c>
      <c r="AO483" t="s">
        <v>802</v>
      </c>
      <c r="AP483" t="s">
        <v>7205</v>
      </c>
      <c r="AQ483" t="s">
        <v>74</v>
      </c>
      <c r="AR483" t="s">
        <v>803</v>
      </c>
      <c r="AS483" t="s">
        <v>804</v>
      </c>
      <c r="AT483" t="s">
        <v>7174</v>
      </c>
      <c r="AU483">
        <v>2004</v>
      </c>
      <c r="AV483">
        <v>271</v>
      </c>
      <c r="AW483" t="s">
        <v>74</v>
      </c>
      <c r="AX483" t="s">
        <v>74</v>
      </c>
      <c r="AY483">
        <v>5</v>
      </c>
      <c r="AZ483" t="s">
        <v>74</v>
      </c>
      <c r="BA483" t="s">
        <v>74</v>
      </c>
      <c r="BB483" t="s">
        <v>7219</v>
      </c>
      <c r="BC483" t="s">
        <v>7220</v>
      </c>
      <c r="BD483" t="s">
        <v>74</v>
      </c>
      <c r="BE483" t="s">
        <v>7221</v>
      </c>
      <c r="BF483" t="str">
        <f>HYPERLINK("http://dx.doi.org/10.1098/rsbl.2004.0182","http://dx.doi.org/10.1098/rsbl.2004.0182")</f>
        <v>http://dx.doi.org/10.1098/rsbl.2004.0182</v>
      </c>
      <c r="BG483" t="s">
        <v>74</v>
      </c>
      <c r="BH483" t="s">
        <v>74</v>
      </c>
      <c r="BI483">
        <v>2</v>
      </c>
      <c r="BJ483" t="s">
        <v>809</v>
      </c>
      <c r="BK483" t="s">
        <v>139</v>
      </c>
      <c r="BL483" t="s">
        <v>810</v>
      </c>
      <c r="BM483" t="s">
        <v>7222</v>
      </c>
      <c r="BN483">
        <v>15503994</v>
      </c>
      <c r="BO483" t="s">
        <v>329</v>
      </c>
      <c r="BP483" t="s">
        <v>74</v>
      </c>
      <c r="BQ483" t="s">
        <v>74</v>
      </c>
      <c r="BR483" t="s">
        <v>98</v>
      </c>
      <c r="BS483" t="s">
        <v>7223</v>
      </c>
      <c r="BT483" t="str">
        <f>HYPERLINK("https%3A%2F%2Fwww.webofscience.com%2Fwos%2Fwoscc%2Ffull-record%2FWOS:000223099800008","View Full Record in Web of Science")</f>
        <v>View Full Record in Web of Science</v>
      </c>
    </row>
    <row r="484" spans="1:72" x14ac:dyDescent="0.15">
      <c r="A484" t="s">
        <v>122</v>
      </c>
      <c r="B484" t="s">
        <v>7224</v>
      </c>
      <c r="C484" t="s">
        <v>74</v>
      </c>
      <c r="D484" t="s">
        <v>74</v>
      </c>
      <c r="E484" t="s">
        <v>74</v>
      </c>
      <c r="F484" t="s">
        <v>7224</v>
      </c>
      <c r="G484" t="s">
        <v>74</v>
      </c>
      <c r="H484" t="s">
        <v>74</v>
      </c>
      <c r="I484" t="s">
        <v>7225</v>
      </c>
      <c r="J484" t="s">
        <v>277</v>
      </c>
      <c r="K484" t="s">
        <v>74</v>
      </c>
      <c r="L484" t="s">
        <v>74</v>
      </c>
      <c r="M484" t="s">
        <v>79</v>
      </c>
      <c r="N484" t="s">
        <v>126</v>
      </c>
      <c r="O484" t="s">
        <v>74</v>
      </c>
      <c r="P484" t="s">
        <v>74</v>
      </c>
      <c r="Q484" t="s">
        <v>74</v>
      </c>
      <c r="R484" t="s">
        <v>74</v>
      </c>
      <c r="S484" t="s">
        <v>74</v>
      </c>
      <c r="T484" t="s">
        <v>7226</v>
      </c>
      <c r="U484" t="s">
        <v>7227</v>
      </c>
      <c r="V484" t="s">
        <v>7228</v>
      </c>
      <c r="W484" t="s">
        <v>7229</v>
      </c>
      <c r="X484" t="s">
        <v>7230</v>
      </c>
      <c r="Y484" t="s">
        <v>7231</v>
      </c>
      <c r="Z484" t="s">
        <v>7232</v>
      </c>
      <c r="AA484" t="s">
        <v>7233</v>
      </c>
      <c r="AB484" t="s">
        <v>7234</v>
      </c>
      <c r="AC484" t="s">
        <v>74</v>
      </c>
      <c r="AD484" t="s">
        <v>74</v>
      </c>
      <c r="AE484" t="s">
        <v>74</v>
      </c>
      <c r="AF484" t="s">
        <v>74</v>
      </c>
      <c r="AG484">
        <v>33</v>
      </c>
      <c r="AH484">
        <v>7</v>
      </c>
      <c r="AI484">
        <v>7</v>
      </c>
      <c r="AJ484">
        <v>0</v>
      </c>
      <c r="AK484">
        <v>2</v>
      </c>
      <c r="AL484" t="s">
        <v>239</v>
      </c>
      <c r="AM484" t="s">
        <v>240</v>
      </c>
      <c r="AN484" t="s">
        <v>241</v>
      </c>
      <c r="AO484" t="s">
        <v>284</v>
      </c>
      <c r="AP484" t="s">
        <v>285</v>
      </c>
      <c r="AQ484" t="s">
        <v>74</v>
      </c>
      <c r="AR484" t="s">
        <v>286</v>
      </c>
      <c r="AS484" t="s">
        <v>287</v>
      </c>
      <c r="AT484" t="s">
        <v>7235</v>
      </c>
      <c r="AU484">
        <v>2004</v>
      </c>
      <c r="AV484">
        <v>109</v>
      </c>
      <c r="AW484" t="s">
        <v>7189</v>
      </c>
      <c r="AX484" t="s">
        <v>74</v>
      </c>
      <c r="AY484" t="s">
        <v>74</v>
      </c>
      <c r="AZ484" t="s">
        <v>74</v>
      </c>
      <c r="BA484" t="s">
        <v>74</v>
      </c>
      <c r="BB484" t="s">
        <v>74</v>
      </c>
      <c r="BC484" t="s">
        <v>74</v>
      </c>
      <c r="BD484" t="s">
        <v>7236</v>
      </c>
      <c r="BE484" t="s">
        <v>7237</v>
      </c>
      <c r="BF484" t="str">
        <f>HYPERLINK("http://dx.doi.org/10.1029/2003JD004487","http://dx.doi.org/10.1029/2003JD004487")</f>
        <v>http://dx.doi.org/10.1029/2003JD004487</v>
      </c>
      <c r="BG484" t="s">
        <v>74</v>
      </c>
      <c r="BH484" t="s">
        <v>74</v>
      </c>
      <c r="BI484">
        <v>13</v>
      </c>
      <c r="BJ484" t="s">
        <v>291</v>
      </c>
      <c r="BK484" t="s">
        <v>139</v>
      </c>
      <c r="BL484" t="s">
        <v>291</v>
      </c>
      <c r="BM484" t="s">
        <v>7238</v>
      </c>
      <c r="BN484" t="s">
        <v>74</v>
      </c>
      <c r="BO484" t="s">
        <v>74</v>
      </c>
      <c r="BP484" t="s">
        <v>74</v>
      </c>
      <c r="BQ484" t="s">
        <v>74</v>
      </c>
      <c r="BR484" t="s">
        <v>98</v>
      </c>
      <c r="BS484" t="s">
        <v>7239</v>
      </c>
      <c r="BT484" t="str">
        <f>HYPERLINK("https%3A%2F%2Fwww.webofscience.com%2Fwos%2Fwoscc%2Ffull-record%2FWOS:000223335900001","View Full Record in Web of Science")</f>
        <v>View Full Record in Web of Science</v>
      </c>
    </row>
    <row r="485" spans="1:72" x14ac:dyDescent="0.15">
      <c r="A485" t="s">
        <v>122</v>
      </c>
      <c r="B485" t="s">
        <v>7240</v>
      </c>
      <c r="C485" t="s">
        <v>74</v>
      </c>
      <c r="D485" t="s">
        <v>74</v>
      </c>
      <c r="E485" t="s">
        <v>74</v>
      </c>
      <c r="F485" t="s">
        <v>7240</v>
      </c>
      <c r="G485" t="s">
        <v>74</v>
      </c>
      <c r="H485" t="s">
        <v>74</v>
      </c>
      <c r="I485" t="s">
        <v>7241</v>
      </c>
      <c r="J485" t="s">
        <v>7242</v>
      </c>
      <c r="K485" t="s">
        <v>74</v>
      </c>
      <c r="L485" t="s">
        <v>74</v>
      </c>
      <c r="M485" t="s">
        <v>79</v>
      </c>
      <c r="N485" t="s">
        <v>126</v>
      </c>
      <c r="O485" t="s">
        <v>74</v>
      </c>
      <c r="P485" t="s">
        <v>74</v>
      </c>
      <c r="Q485" t="s">
        <v>74</v>
      </c>
      <c r="R485" t="s">
        <v>74</v>
      </c>
      <c r="S485" t="s">
        <v>74</v>
      </c>
      <c r="T485" t="s">
        <v>7243</v>
      </c>
      <c r="U485" t="s">
        <v>7244</v>
      </c>
      <c r="V485" t="s">
        <v>7245</v>
      </c>
      <c r="W485" t="s">
        <v>4590</v>
      </c>
      <c r="X485" t="s">
        <v>4591</v>
      </c>
      <c r="Y485" t="s">
        <v>4592</v>
      </c>
      <c r="Z485" t="s">
        <v>4593</v>
      </c>
      <c r="AA485" t="s">
        <v>74</v>
      </c>
      <c r="AB485" t="s">
        <v>74</v>
      </c>
      <c r="AC485" t="s">
        <v>74</v>
      </c>
      <c r="AD485" t="s">
        <v>74</v>
      </c>
      <c r="AE485" t="s">
        <v>74</v>
      </c>
      <c r="AF485" t="s">
        <v>74</v>
      </c>
      <c r="AG485">
        <v>42</v>
      </c>
      <c r="AH485">
        <v>114</v>
      </c>
      <c r="AI485">
        <v>137</v>
      </c>
      <c r="AJ485">
        <v>0</v>
      </c>
      <c r="AK485">
        <v>35</v>
      </c>
      <c r="AL485" t="s">
        <v>3344</v>
      </c>
      <c r="AM485" t="s">
        <v>3345</v>
      </c>
      <c r="AN485" t="s">
        <v>3346</v>
      </c>
      <c r="AO485" t="s">
        <v>7246</v>
      </c>
      <c r="AP485" t="s">
        <v>7247</v>
      </c>
      <c r="AQ485" t="s">
        <v>74</v>
      </c>
      <c r="AR485" t="s">
        <v>7248</v>
      </c>
      <c r="AS485" t="s">
        <v>7249</v>
      </c>
      <c r="AT485" t="s">
        <v>7250</v>
      </c>
      <c r="AU485">
        <v>2004</v>
      </c>
      <c r="AV485">
        <v>287</v>
      </c>
      <c r="AW485">
        <v>2</v>
      </c>
      <c r="AX485" t="s">
        <v>74</v>
      </c>
      <c r="AY485" t="s">
        <v>74</v>
      </c>
      <c r="AZ485" t="s">
        <v>74</v>
      </c>
      <c r="BA485" t="s">
        <v>74</v>
      </c>
      <c r="BB485" t="s">
        <v>7251</v>
      </c>
      <c r="BC485" t="s">
        <v>7252</v>
      </c>
      <c r="BD485" t="s">
        <v>74</v>
      </c>
      <c r="BE485" t="s">
        <v>7253</v>
      </c>
      <c r="BF485" t="str">
        <f>HYPERLINK("http://dx.doi.org/10.1152/ajpregu.00223.2004","http://dx.doi.org/10.1152/ajpregu.00223.2004")</f>
        <v>http://dx.doi.org/10.1152/ajpregu.00223.2004</v>
      </c>
      <c r="BG485" t="s">
        <v>74</v>
      </c>
      <c r="BH485" t="s">
        <v>74</v>
      </c>
      <c r="BI485">
        <v>8</v>
      </c>
      <c r="BJ485" t="s">
        <v>7254</v>
      </c>
      <c r="BK485" t="s">
        <v>139</v>
      </c>
      <c r="BL485" t="s">
        <v>7254</v>
      </c>
      <c r="BM485" t="s">
        <v>7255</v>
      </c>
      <c r="BN485">
        <v>15117724</v>
      </c>
      <c r="BO485" t="s">
        <v>74</v>
      </c>
      <c r="BP485" t="s">
        <v>74</v>
      </c>
      <c r="BQ485" t="s">
        <v>74</v>
      </c>
      <c r="BR485" t="s">
        <v>98</v>
      </c>
      <c r="BS485" t="s">
        <v>7256</v>
      </c>
      <c r="BT485" t="str">
        <f>HYPERLINK("https%3A%2F%2Fwww.webofscience.com%2Fwos%2Fwoscc%2Ffull-record%2FWOS:000222835300028","View Full Record in Web of Science")</f>
        <v>View Full Record in Web of Science</v>
      </c>
    </row>
    <row r="486" spans="1:72" x14ac:dyDescent="0.15">
      <c r="A486" t="s">
        <v>122</v>
      </c>
      <c r="B486" t="s">
        <v>7257</v>
      </c>
      <c r="C486" t="s">
        <v>74</v>
      </c>
      <c r="D486" t="s">
        <v>74</v>
      </c>
      <c r="E486" t="s">
        <v>74</v>
      </c>
      <c r="F486" t="s">
        <v>7257</v>
      </c>
      <c r="G486" t="s">
        <v>74</v>
      </c>
      <c r="H486" t="s">
        <v>74</v>
      </c>
      <c r="I486" t="s">
        <v>7258</v>
      </c>
      <c r="J486" t="s">
        <v>7259</v>
      </c>
      <c r="K486" t="s">
        <v>74</v>
      </c>
      <c r="L486" t="s">
        <v>74</v>
      </c>
      <c r="M486" t="s">
        <v>79</v>
      </c>
      <c r="N486" t="s">
        <v>126</v>
      </c>
      <c r="O486" t="s">
        <v>74</v>
      </c>
      <c r="P486" t="s">
        <v>74</v>
      </c>
      <c r="Q486" t="s">
        <v>74</v>
      </c>
      <c r="R486" t="s">
        <v>74</v>
      </c>
      <c r="S486" t="s">
        <v>74</v>
      </c>
      <c r="T486" t="s">
        <v>74</v>
      </c>
      <c r="U486" t="s">
        <v>7260</v>
      </c>
      <c r="V486" t="s">
        <v>7261</v>
      </c>
      <c r="W486" t="s">
        <v>7262</v>
      </c>
      <c r="X486" t="s">
        <v>7263</v>
      </c>
      <c r="Y486" t="s">
        <v>7264</v>
      </c>
      <c r="Z486" t="s">
        <v>7265</v>
      </c>
      <c r="AA486" t="s">
        <v>7266</v>
      </c>
      <c r="AB486" t="s">
        <v>7267</v>
      </c>
      <c r="AC486" t="s">
        <v>74</v>
      </c>
      <c r="AD486" t="s">
        <v>74</v>
      </c>
      <c r="AE486" t="s">
        <v>74</v>
      </c>
      <c r="AF486" t="s">
        <v>74</v>
      </c>
      <c r="AG486">
        <v>35</v>
      </c>
      <c r="AH486">
        <v>26</v>
      </c>
      <c r="AI486">
        <v>29</v>
      </c>
      <c r="AJ486">
        <v>1</v>
      </c>
      <c r="AK486">
        <v>6</v>
      </c>
      <c r="AL486" t="s">
        <v>7268</v>
      </c>
      <c r="AM486" t="s">
        <v>240</v>
      </c>
      <c r="AN486" t="s">
        <v>7269</v>
      </c>
      <c r="AO486" t="s">
        <v>7270</v>
      </c>
      <c r="AP486" t="s">
        <v>7271</v>
      </c>
      <c r="AQ486" t="s">
        <v>74</v>
      </c>
      <c r="AR486" t="s">
        <v>7272</v>
      </c>
      <c r="AS486" t="s">
        <v>7273</v>
      </c>
      <c r="AT486" t="s">
        <v>7274</v>
      </c>
      <c r="AU486">
        <v>2004</v>
      </c>
      <c r="AV486">
        <v>43</v>
      </c>
      <c r="AW486">
        <v>22</v>
      </c>
      <c r="AX486" t="s">
        <v>74</v>
      </c>
      <c r="AY486" t="s">
        <v>74</v>
      </c>
      <c r="AZ486" t="s">
        <v>74</v>
      </c>
      <c r="BA486" t="s">
        <v>74</v>
      </c>
      <c r="BB486">
        <v>4415</v>
      </c>
      <c r="BC486">
        <v>4426</v>
      </c>
      <c r="BD486" t="s">
        <v>74</v>
      </c>
      <c r="BE486" t="s">
        <v>7275</v>
      </c>
      <c r="BF486" t="str">
        <f>HYPERLINK("http://dx.doi.org/10.1364/AO.43.004415","http://dx.doi.org/10.1364/AO.43.004415")</f>
        <v>http://dx.doi.org/10.1364/AO.43.004415</v>
      </c>
      <c r="BG486" t="s">
        <v>74</v>
      </c>
      <c r="BH486" t="s">
        <v>74</v>
      </c>
      <c r="BI486">
        <v>12</v>
      </c>
      <c r="BJ486" t="s">
        <v>7276</v>
      </c>
      <c r="BK486" t="s">
        <v>139</v>
      </c>
      <c r="BL486" t="s">
        <v>7276</v>
      </c>
      <c r="BM486" t="s">
        <v>7277</v>
      </c>
      <c r="BN486">
        <v>15298416</v>
      </c>
      <c r="BO486" t="s">
        <v>988</v>
      </c>
      <c r="BP486" t="s">
        <v>74</v>
      </c>
      <c r="BQ486" t="s">
        <v>74</v>
      </c>
      <c r="BR486" t="s">
        <v>98</v>
      </c>
      <c r="BS486" t="s">
        <v>7278</v>
      </c>
      <c r="BT486" t="str">
        <f>HYPERLINK("https%3A%2F%2Fwww.webofscience.com%2Fwos%2Fwoscc%2Ffull-record%2FWOS:000222934800018","View Full Record in Web of Science")</f>
        <v>View Full Record in Web of Science</v>
      </c>
    </row>
    <row r="487" spans="1:72" x14ac:dyDescent="0.15">
      <c r="A487" t="s">
        <v>122</v>
      </c>
      <c r="B487" t="s">
        <v>7279</v>
      </c>
      <c r="C487" t="s">
        <v>74</v>
      </c>
      <c r="D487" t="s">
        <v>74</v>
      </c>
      <c r="E487" t="s">
        <v>74</v>
      </c>
      <c r="F487" t="s">
        <v>7279</v>
      </c>
      <c r="G487" t="s">
        <v>74</v>
      </c>
      <c r="H487" t="s">
        <v>74</v>
      </c>
      <c r="I487" t="s">
        <v>7280</v>
      </c>
      <c r="J487" t="s">
        <v>7281</v>
      </c>
      <c r="K487" t="s">
        <v>74</v>
      </c>
      <c r="L487" t="s">
        <v>74</v>
      </c>
      <c r="M487" t="s">
        <v>79</v>
      </c>
      <c r="N487" t="s">
        <v>1129</v>
      </c>
      <c r="O487" t="s">
        <v>7282</v>
      </c>
      <c r="P487" t="s">
        <v>7283</v>
      </c>
      <c r="Q487" t="s">
        <v>7284</v>
      </c>
      <c r="R487" t="s">
        <v>74</v>
      </c>
      <c r="S487" t="s">
        <v>74</v>
      </c>
      <c r="T487" t="s">
        <v>7285</v>
      </c>
      <c r="U487" t="s">
        <v>74</v>
      </c>
      <c r="V487" t="s">
        <v>7286</v>
      </c>
      <c r="W487" t="s">
        <v>7287</v>
      </c>
      <c r="X487" t="s">
        <v>7288</v>
      </c>
      <c r="Y487" t="s">
        <v>7289</v>
      </c>
      <c r="Z487" t="s">
        <v>7290</v>
      </c>
      <c r="AA487" t="s">
        <v>74</v>
      </c>
      <c r="AB487" t="s">
        <v>74</v>
      </c>
      <c r="AC487" t="s">
        <v>74</v>
      </c>
      <c r="AD487" t="s">
        <v>74</v>
      </c>
      <c r="AE487" t="s">
        <v>74</v>
      </c>
      <c r="AF487" t="s">
        <v>74</v>
      </c>
      <c r="AG487">
        <v>18</v>
      </c>
      <c r="AH487">
        <v>4</v>
      </c>
      <c r="AI487">
        <v>4</v>
      </c>
      <c r="AJ487">
        <v>0</v>
      </c>
      <c r="AK487">
        <v>6</v>
      </c>
      <c r="AL487" t="s">
        <v>1273</v>
      </c>
      <c r="AM487" t="s">
        <v>197</v>
      </c>
      <c r="AN487" t="s">
        <v>1274</v>
      </c>
      <c r="AO487" t="s">
        <v>7291</v>
      </c>
      <c r="AP487" t="s">
        <v>74</v>
      </c>
      <c r="AQ487" t="s">
        <v>74</v>
      </c>
      <c r="AR487" t="s">
        <v>7292</v>
      </c>
      <c r="AS487" t="s">
        <v>7293</v>
      </c>
      <c r="AT487" t="s">
        <v>7294</v>
      </c>
      <c r="AU487">
        <v>2004</v>
      </c>
      <c r="AV487">
        <v>61</v>
      </c>
      <c r="AW487" t="s">
        <v>1447</v>
      </c>
      <c r="AX487" t="s">
        <v>74</v>
      </c>
      <c r="AY487" t="s">
        <v>74</v>
      </c>
      <c r="AZ487" t="s">
        <v>74</v>
      </c>
      <c r="BA487" t="s">
        <v>74</v>
      </c>
      <c r="BB487">
        <v>267</v>
      </c>
      <c r="BC487">
        <v>271</v>
      </c>
      <c r="BD487" t="s">
        <v>74</v>
      </c>
      <c r="BE487" t="s">
        <v>7295</v>
      </c>
      <c r="BF487" t="str">
        <f>HYPERLINK("http://dx.doi.org/10.1016/j.apradiso.2004.03.042","http://dx.doi.org/10.1016/j.apradiso.2004.03.042")</f>
        <v>http://dx.doi.org/10.1016/j.apradiso.2004.03.042</v>
      </c>
      <c r="BG487" t="s">
        <v>74</v>
      </c>
      <c r="BH487" t="s">
        <v>74</v>
      </c>
      <c r="BI487">
        <v>5</v>
      </c>
      <c r="BJ487" t="s">
        <v>7296</v>
      </c>
      <c r="BK487" t="s">
        <v>1150</v>
      </c>
      <c r="BL487" t="s">
        <v>7297</v>
      </c>
      <c r="BM487" t="s">
        <v>7298</v>
      </c>
      <c r="BN487">
        <v>15177356</v>
      </c>
      <c r="BO487" t="s">
        <v>74</v>
      </c>
      <c r="BP487" t="s">
        <v>74</v>
      </c>
      <c r="BQ487" t="s">
        <v>74</v>
      </c>
      <c r="BR487" t="s">
        <v>98</v>
      </c>
      <c r="BS487" t="s">
        <v>7299</v>
      </c>
      <c r="BT487" t="str">
        <f>HYPERLINK("https%3A%2F%2Fwww.webofscience.com%2Fwos%2Fwoscc%2Ffull-record%2FWOS:000222191700032","View Full Record in Web of Science")</f>
        <v>View Full Record in Web of Science</v>
      </c>
    </row>
    <row r="488" spans="1:72" x14ac:dyDescent="0.15">
      <c r="A488" t="s">
        <v>122</v>
      </c>
      <c r="B488" t="s">
        <v>7300</v>
      </c>
      <c r="C488" t="s">
        <v>74</v>
      </c>
      <c r="D488" t="s">
        <v>74</v>
      </c>
      <c r="E488" t="s">
        <v>74</v>
      </c>
      <c r="F488" t="s">
        <v>7300</v>
      </c>
      <c r="G488" t="s">
        <v>74</v>
      </c>
      <c r="H488" t="s">
        <v>74</v>
      </c>
      <c r="I488" t="s">
        <v>7301</v>
      </c>
      <c r="J488" t="s">
        <v>2591</v>
      </c>
      <c r="K488" t="s">
        <v>74</v>
      </c>
      <c r="L488" t="s">
        <v>74</v>
      </c>
      <c r="M488" t="s">
        <v>79</v>
      </c>
      <c r="N488" t="s">
        <v>918</v>
      </c>
      <c r="O488" t="s">
        <v>74</v>
      </c>
      <c r="P488" t="s">
        <v>74</v>
      </c>
      <c r="Q488" t="s">
        <v>74</v>
      </c>
      <c r="R488" t="s">
        <v>74</v>
      </c>
      <c r="S488" t="s">
        <v>74</v>
      </c>
      <c r="T488" t="s">
        <v>74</v>
      </c>
      <c r="U488" t="s">
        <v>74</v>
      </c>
      <c r="V488" t="s">
        <v>74</v>
      </c>
      <c r="W488" t="s">
        <v>7302</v>
      </c>
      <c r="X488" t="s">
        <v>7303</v>
      </c>
      <c r="Y488" t="s">
        <v>7304</v>
      </c>
      <c r="Z488" t="s">
        <v>7305</v>
      </c>
      <c r="AA488" t="s">
        <v>7306</v>
      </c>
      <c r="AB488" t="s">
        <v>7307</v>
      </c>
      <c r="AC488" t="s">
        <v>74</v>
      </c>
      <c r="AD488" t="s">
        <v>74</v>
      </c>
      <c r="AE488" t="s">
        <v>74</v>
      </c>
      <c r="AF488" t="s">
        <v>74</v>
      </c>
      <c r="AG488">
        <v>0</v>
      </c>
      <c r="AH488">
        <v>2</v>
      </c>
      <c r="AI488">
        <v>2</v>
      </c>
      <c r="AJ488">
        <v>0</v>
      </c>
      <c r="AK488">
        <v>3</v>
      </c>
      <c r="AL488" t="s">
        <v>2600</v>
      </c>
      <c r="AM488" t="s">
        <v>2601</v>
      </c>
      <c r="AN488" t="s">
        <v>2602</v>
      </c>
      <c r="AO488" t="s">
        <v>2603</v>
      </c>
      <c r="AP488" t="s">
        <v>2619</v>
      </c>
      <c r="AQ488" t="s">
        <v>74</v>
      </c>
      <c r="AR488" t="s">
        <v>2604</v>
      </c>
      <c r="AS488" t="s">
        <v>2605</v>
      </c>
      <c r="AT488" t="s">
        <v>7250</v>
      </c>
      <c r="AU488">
        <v>2004</v>
      </c>
      <c r="AV488">
        <v>36</v>
      </c>
      <c r="AW488">
        <v>3</v>
      </c>
      <c r="AX488" t="s">
        <v>74</v>
      </c>
      <c r="AY488" t="s">
        <v>74</v>
      </c>
      <c r="AZ488" t="s">
        <v>74</v>
      </c>
      <c r="BA488" t="s">
        <v>74</v>
      </c>
      <c r="BB488">
        <v>281</v>
      </c>
      <c r="BC488">
        <v>283</v>
      </c>
      <c r="BD488" t="s">
        <v>74</v>
      </c>
      <c r="BE488" t="s">
        <v>74</v>
      </c>
      <c r="BF488" t="s">
        <v>74</v>
      </c>
      <c r="BG488" t="s">
        <v>74</v>
      </c>
      <c r="BH488" t="s">
        <v>74</v>
      </c>
      <c r="BI488">
        <v>3</v>
      </c>
      <c r="BJ488" t="s">
        <v>2607</v>
      </c>
      <c r="BK488" t="s">
        <v>139</v>
      </c>
      <c r="BL488" t="s">
        <v>1557</v>
      </c>
      <c r="BM488" t="s">
        <v>7308</v>
      </c>
      <c r="BN488" t="s">
        <v>74</v>
      </c>
      <c r="BO488" t="s">
        <v>74</v>
      </c>
      <c r="BP488" t="s">
        <v>74</v>
      </c>
      <c r="BQ488" t="s">
        <v>74</v>
      </c>
      <c r="BR488" t="s">
        <v>98</v>
      </c>
      <c r="BS488" t="s">
        <v>7309</v>
      </c>
      <c r="BT488" t="str">
        <f>HYPERLINK("https%3A%2F%2Fwww.webofscience.com%2Fwos%2Fwoscc%2Ffull-record%2FWOS:000226706900001","View Full Record in Web of Science")</f>
        <v>View Full Record in Web of Science</v>
      </c>
    </row>
    <row r="489" spans="1:72" x14ac:dyDescent="0.15">
      <c r="A489" t="s">
        <v>122</v>
      </c>
      <c r="B489" t="s">
        <v>7310</v>
      </c>
      <c r="C489" t="s">
        <v>74</v>
      </c>
      <c r="D489" t="s">
        <v>74</v>
      </c>
      <c r="E489" t="s">
        <v>74</v>
      </c>
      <c r="F489" t="s">
        <v>7310</v>
      </c>
      <c r="G489" t="s">
        <v>74</v>
      </c>
      <c r="H489" t="s">
        <v>74</v>
      </c>
      <c r="I489" t="s">
        <v>7311</v>
      </c>
      <c r="J489" t="s">
        <v>2591</v>
      </c>
      <c r="K489" t="s">
        <v>74</v>
      </c>
      <c r="L489" t="s">
        <v>74</v>
      </c>
      <c r="M489" t="s">
        <v>79</v>
      </c>
      <c r="N489" t="s">
        <v>1129</v>
      </c>
      <c r="O489" t="s">
        <v>7312</v>
      </c>
      <c r="P489" t="s">
        <v>7313</v>
      </c>
      <c r="Q489" t="s">
        <v>7314</v>
      </c>
      <c r="R489" t="s">
        <v>74</v>
      </c>
      <c r="S489" t="s">
        <v>74</v>
      </c>
      <c r="T489" t="s">
        <v>74</v>
      </c>
      <c r="U489" t="s">
        <v>7315</v>
      </c>
      <c r="V489" t="s">
        <v>7316</v>
      </c>
      <c r="W489" t="s">
        <v>7317</v>
      </c>
      <c r="X489" t="s">
        <v>7318</v>
      </c>
      <c r="Y489" t="s">
        <v>7319</v>
      </c>
      <c r="Z489" t="s">
        <v>7320</v>
      </c>
      <c r="AA489" t="s">
        <v>7321</v>
      </c>
      <c r="AB489" t="s">
        <v>7322</v>
      </c>
      <c r="AC489" t="s">
        <v>74</v>
      </c>
      <c r="AD489" t="s">
        <v>74</v>
      </c>
      <c r="AE489" t="s">
        <v>74</v>
      </c>
      <c r="AF489" t="s">
        <v>74</v>
      </c>
      <c r="AG489">
        <v>39</v>
      </c>
      <c r="AH489">
        <v>44</v>
      </c>
      <c r="AI489">
        <v>49</v>
      </c>
      <c r="AJ489">
        <v>1</v>
      </c>
      <c r="AK489">
        <v>16</v>
      </c>
      <c r="AL489" t="s">
        <v>1644</v>
      </c>
      <c r="AM489" t="s">
        <v>1645</v>
      </c>
      <c r="AN489" t="s">
        <v>1646</v>
      </c>
      <c r="AO489" t="s">
        <v>2603</v>
      </c>
      <c r="AP489" t="s">
        <v>2619</v>
      </c>
      <c r="AQ489" t="s">
        <v>74</v>
      </c>
      <c r="AR489" t="s">
        <v>2604</v>
      </c>
      <c r="AS489" t="s">
        <v>2605</v>
      </c>
      <c r="AT489" t="s">
        <v>7250</v>
      </c>
      <c r="AU489">
        <v>2004</v>
      </c>
      <c r="AV489">
        <v>36</v>
      </c>
      <c r="AW489">
        <v>3</v>
      </c>
      <c r="AX489" t="s">
        <v>74</v>
      </c>
      <c r="AY489" t="s">
        <v>74</v>
      </c>
      <c r="AZ489" t="s">
        <v>74</v>
      </c>
      <c r="BA489" t="s">
        <v>74</v>
      </c>
      <c r="BB489">
        <v>284</v>
      </c>
      <c r="BC489">
        <v>291</v>
      </c>
      <c r="BD489" t="s">
        <v>74</v>
      </c>
      <c r="BE489" t="s">
        <v>7323</v>
      </c>
      <c r="BF489" t="str">
        <f>HYPERLINK("http://dx.doi.org/10.1657/1523-0430(2004)036[0284:TTIAHM]2.0.CO;2","http://dx.doi.org/10.1657/1523-0430(2004)036[0284:TTIAHM]2.0.CO;2")</f>
        <v>http://dx.doi.org/10.1657/1523-0430(2004)036[0284:TTIAHM]2.0.CO;2</v>
      </c>
      <c r="BG489" t="s">
        <v>74</v>
      </c>
      <c r="BH489" t="s">
        <v>74</v>
      </c>
      <c r="BI489">
        <v>8</v>
      </c>
      <c r="BJ489" t="s">
        <v>2607</v>
      </c>
      <c r="BK489" t="s">
        <v>1257</v>
      </c>
      <c r="BL489" t="s">
        <v>1557</v>
      </c>
      <c r="BM489" t="s">
        <v>7308</v>
      </c>
      <c r="BN489" t="s">
        <v>74</v>
      </c>
      <c r="BO489" t="s">
        <v>2621</v>
      </c>
      <c r="BP489" t="s">
        <v>74</v>
      </c>
      <c r="BQ489" t="s">
        <v>74</v>
      </c>
      <c r="BR489" t="s">
        <v>98</v>
      </c>
      <c r="BS489" t="s">
        <v>7324</v>
      </c>
      <c r="BT489" t="str">
        <f>HYPERLINK("https%3A%2F%2Fwww.webofscience.com%2Fwos%2Fwoscc%2Ffull-record%2FWOS:000226706900002","View Full Record in Web of Science")</f>
        <v>View Full Record in Web of Science</v>
      </c>
    </row>
    <row r="490" spans="1:72" x14ac:dyDescent="0.15">
      <c r="A490" t="s">
        <v>122</v>
      </c>
      <c r="B490" t="s">
        <v>7325</v>
      </c>
      <c r="C490" t="s">
        <v>74</v>
      </c>
      <c r="D490" t="s">
        <v>74</v>
      </c>
      <c r="E490" t="s">
        <v>74</v>
      </c>
      <c r="F490" t="s">
        <v>7325</v>
      </c>
      <c r="G490" t="s">
        <v>74</v>
      </c>
      <c r="H490" t="s">
        <v>74</v>
      </c>
      <c r="I490" t="s">
        <v>7326</v>
      </c>
      <c r="J490" t="s">
        <v>2591</v>
      </c>
      <c r="K490" t="s">
        <v>74</v>
      </c>
      <c r="L490" t="s">
        <v>74</v>
      </c>
      <c r="M490" t="s">
        <v>79</v>
      </c>
      <c r="N490" t="s">
        <v>1129</v>
      </c>
      <c r="O490" t="s">
        <v>7312</v>
      </c>
      <c r="P490" t="s">
        <v>7313</v>
      </c>
      <c r="Q490" t="s">
        <v>7314</v>
      </c>
      <c r="R490" t="s">
        <v>74</v>
      </c>
      <c r="S490" t="s">
        <v>74</v>
      </c>
      <c r="T490" t="s">
        <v>74</v>
      </c>
      <c r="U490" t="s">
        <v>7327</v>
      </c>
      <c r="V490" t="s">
        <v>7328</v>
      </c>
      <c r="W490" t="s">
        <v>7329</v>
      </c>
      <c r="X490" t="s">
        <v>7330</v>
      </c>
      <c r="Y490" t="s">
        <v>7331</v>
      </c>
      <c r="Z490" t="s">
        <v>7332</v>
      </c>
      <c r="AA490" t="s">
        <v>74</v>
      </c>
      <c r="AB490" t="s">
        <v>74</v>
      </c>
      <c r="AC490" t="s">
        <v>74</v>
      </c>
      <c r="AD490" t="s">
        <v>74</v>
      </c>
      <c r="AE490" t="s">
        <v>74</v>
      </c>
      <c r="AF490" t="s">
        <v>74</v>
      </c>
      <c r="AG490">
        <v>22</v>
      </c>
      <c r="AH490">
        <v>13</v>
      </c>
      <c r="AI490">
        <v>13</v>
      </c>
      <c r="AJ490">
        <v>1</v>
      </c>
      <c r="AK490">
        <v>21</v>
      </c>
      <c r="AL490" t="s">
        <v>1644</v>
      </c>
      <c r="AM490" t="s">
        <v>1645</v>
      </c>
      <c r="AN490" t="s">
        <v>1646</v>
      </c>
      <c r="AO490" t="s">
        <v>2603</v>
      </c>
      <c r="AP490" t="s">
        <v>2619</v>
      </c>
      <c r="AQ490" t="s">
        <v>74</v>
      </c>
      <c r="AR490" t="s">
        <v>2604</v>
      </c>
      <c r="AS490" t="s">
        <v>2605</v>
      </c>
      <c r="AT490" t="s">
        <v>7250</v>
      </c>
      <c r="AU490">
        <v>2004</v>
      </c>
      <c r="AV490">
        <v>36</v>
      </c>
      <c r="AW490">
        <v>3</v>
      </c>
      <c r="AX490" t="s">
        <v>74</v>
      </c>
      <c r="AY490" t="s">
        <v>74</v>
      </c>
      <c r="AZ490" t="s">
        <v>74</v>
      </c>
      <c r="BA490" t="s">
        <v>74</v>
      </c>
      <c r="BB490">
        <v>292</v>
      </c>
      <c r="BC490">
        <v>297</v>
      </c>
      <c r="BD490" t="s">
        <v>74</v>
      </c>
      <c r="BE490" t="s">
        <v>7333</v>
      </c>
      <c r="BF490" t="str">
        <f>HYPERLINK("http://dx.doi.org/10.1657/1523-0430(2004)036[0292:EOTLTO]2.0.CO;2","http://dx.doi.org/10.1657/1523-0430(2004)036[0292:EOTLTO]2.0.CO;2")</f>
        <v>http://dx.doi.org/10.1657/1523-0430(2004)036[0292:EOTLTO]2.0.CO;2</v>
      </c>
      <c r="BG490" t="s">
        <v>74</v>
      </c>
      <c r="BH490" t="s">
        <v>74</v>
      </c>
      <c r="BI490">
        <v>6</v>
      </c>
      <c r="BJ490" t="s">
        <v>2607</v>
      </c>
      <c r="BK490" t="s">
        <v>1257</v>
      </c>
      <c r="BL490" t="s">
        <v>1557</v>
      </c>
      <c r="BM490" t="s">
        <v>7308</v>
      </c>
      <c r="BN490" t="s">
        <v>74</v>
      </c>
      <c r="BO490" t="s">
        <v>988</v>
      </c>
      <c r="BP490" t="s">
        <v>74</v>
      </c>
      <c r="BQ490" t="s">
        <v>74</v>
      </c>
      <c r="BR490" t="s">
        <v>98</v>
      </c>
      <c r="BS490" t="s">
        <v>7334</v>
      </c>
      <c r="BT490" t="str">
        <f>HYPERLINK("https%3A%2F%2Fwww.webofscience.com%2Fwos%2Fwoscc%2Ffull-record%2FWOS:000226706900003","View Full Record in Web of Science")</f>
        <v>View Full Record in Web of Science</v>
      </c>
    </row>
    <row r="491" spans="1:72" x14ac:dyDescent="0.15">
      <c r="A491" t="s">
        <v>122</v>
      </c>
      <c r="B491" t="s">
        <v>7335</v>
      </c>
      <c r="C491" t="s">
        <v>74</v>
      </c>
      <c r="D491" t="s">
        <v>74</v>
      </c>
      <c r="E491" t="s">
        <v>74</v>
      </c>
      <c r="F491" t="s">
        <v>7335</v>
      </c>
      <c r="G491" t="s">
        <v>74</v>
      </c>
      <c r="H491" t="s">
        <v>74</v>
      </c>
      <c r="I491" t="s">
        <v>7336</v>
      </c>
      <c r="J491" t="s">
        <v>2591</v>
      </c>
      <c r="K491" t="s">
        <v>74</v>
      </c>
      <c r="L491" t="s">
        <v>74</v>
      </c>
      <c r="M491" t="s">
        <v>79</v>
      </c>
      <c r="N491" t="s">
        <v>1129</v>
      </c>
      <c r="O491" t="s">
        <v>7312</v>
      </c>
      <c r="P491" t="s">
        <v>7313</v>
      </c>
      <c r="Q491" t="s">
        <v>7314</v>
      </c>
      <c r="R491" t="s">
        <v>74</v>
      </c>
      <c r="S491" t="s">
        <v>74</v>
      </c>
      <c r="T491" t="s">
        <v>74</v>
      </c>
      <c r="U491" t="s">
        <v>7337</v>
      </c>
      <c r="V491" t="s">
        <v>7338</v>
      </c>
      <c r="W491" t="s">
        <v>7339</v>
      </c>
      <c r="X491" t="s">
        <v>7340</v>
      </c>
      <c r="Y491" t="s">
        <v>2616</v>
      </c>
      <c r="Z491" t="s">
        <v>2617</v>
      </c>
      <c r="AA491" t="s">
        <v>7341</v>
      </c>
      <c r="AB491" t="s">
        <v>7342</v>
      </c>
      <c r="AC491" t="s">
        <v>74</v>
      </c>
      <c r="AD491" t="s">
        <v>74</v>
      </c>
      <c r="AE491" t="s">
        <v>74</v>
      </c>
      <c r="AF491" t="s">
        <v>74</v>
      </c>
      <c r="AG491">
        <v>50</v>
      </c>
      <c r="AH491">
        <v>35</v>
      </c>
      <c r="AI491">
        <v>44</v>
      </c>
      <c r="AJ491">
        <v>1</v>
      </c>
      <c r="AK491">
        <v>46</v>
      </c>
      <c r="AL491" t="s">
        <v>1644</v>
      </c>
      <c r="AM491" t="s">
        <v>1645</v>
      </c>
      <c r="AN491" t="s">
        <v>1646</v>
      </c>
      <c r="AO491" t="s">
        <v>2603</v>
      </c>
      <c r="AP491" t="s">
        <v>2619</v>
      </c>
      <c r="AQ491" t="s">
        <v>74</v>
      </c>
      <c r="AR491" t="s">
        <v>2604</v>
      </c>
      <c r="AS491" t="s">
        <v>2605</v>
      </c>
      <c r="AT491" t="s">
        <v>7250</v>
      </c>
      <c r="AU491">
        <v>2004</v>
      </c>
      <c r="AV491">
        <v>36</v>
      </c>
      <c r="AW491">
        <v>3</v>
      </c>
      <c r="AX491" t="s">
        <v>74</v>
      </c>
      <c r="AY491" t="s">
        <v>74</v>
      </c>
      <c r="AZ491" t="s">
        <v>74</v>
      </c>
      <c r="BA491" t="s">
        <v>74</v>
      </c>
      <c r="BB491">
        <v>298</v>
      </c>
      <c r="BC491">
        <v>307</v>
      </c>
      <c r="BD491" t="s">
        <v>74</v>
      </c>
      <c r="BE491" t="s">
        <v>7343</v>
      </c>
      <c r="BF491" t="str">
        <f>HYPERLINK("http://dx.doi.org/10.1657/1523-0430(2004)036[0298:ITBLCI]2.0.CO;2","http://dx.doi.org/10.1657/1523-0430(2004)036[0298:ITBLCI]2.0.CO;2")</f>
        <v>http://dx.doi.org/10.1657/1523-0430(2004)036[0298:ITBLCI]2.0.CO;2</v>
      </c>
      <c r="BG491" t="s">
        <v>74</v>
      </c>
      <c r="BH491" t="s">
        <v>74</v>
      </c>
      <c r="BI491">
        <v>10</v>
      </c>
      <c r="BJ491" t="s">
        <v>2607</v>
      </c>
      <c r="BK491" t="s">
        <v>1257</v>
      </c>
      <c r="BL491" t="s">
        <v>1557</v>
      </c>
      <c r="BM491" t="s">
        <v>7308</v>
      </c>
      <c r="BN491" t="s">
        <v>74</v>
      </c>
      <c r="BO491" t="s">
        <v>988</v>
      </c>
      <c r="BP491" t="s">
        <v>74</v>
      </c>
      <c r="BQ491" t="s">
        <v>74</v>
      </c>
      <c r="BR491" t="s">
        <v>98</v>
      </c>
      <c r="BS491" t="s">
        <v>7344</v>
      </c>
      <c r="BT491" t="str">
        <f>HYPERLINK("https%3A%2F%2Fwww.webofscience.com%2Fwos%2Fwoscc%2Ffull-record%2FWOS:000226706900004","View Full Record in Web of Science")</f>
        <v>View Full Record in Web of Science</v>
      </c>
    </row>
    <row r="492" spans="1:72" x14ac:dyDescent="0.15">
      <c r="A492" t="s">
        <v>122</v>
      </c>
      <c r="B492" t="s">
        <v>7345</v>
      </c>
      <c r="C492" t="s">
        <v>74</v>
      </c>
      <c r="D492" t="s">
        <v>74</v>
      </c>
      <c r="E492" t="s">
        <v>74</v>
      </c>
      <c r="F492" t="s">
        <v>7345</v>
      </c>
      <c r="G492" t="s">
        <v>74</v>
      </c>
      <c r="H492" t="s">
        <v>74</v>
      </c>
      <c r="I492" t="s">
        <v>7346</v>
      </c>
      <c r="J492" t="s">
        <v>2591</v>
      </c>
      <c r="K492" t="s">
        <v>74</v>
      </c>
      <c r="L492" t="s">
        <v>74</v>
      </c>
      <c r="M492" t="s">
        <v>79</v>
      </c>
      <c r="N492" t="s">
        <v>1129</v>
      </c>
      <c r="O492" t="s">
        <v>7312</v>
      </c>
      <c r="P492" t="s">
        <v>7313</v>
      </c>
      <c r="Q492" t="s">
        <v>7314</v>
      </c>
      <c r="R492" t="s">
        <v>74</v>
      </c>
      <c r="S492" t="s">
        <v>74</v>
      </c>
      <c r="T492" t="s">
        <v>74</v>
      </c>
      <c r="U492" t="s">
        <v>7347</v>
      </c>
      <c r="V492" t="s">
        <v>7348</v>
      </c>
      <c r="W492" t="s">
        <v>7349</v>
      </c>
      <c r="X492" t="s">
        <v>7350</v>
      </c>
      <c r="Y492" t="s">
        <v>7351</v>
      </c>
      <c r="Z492" t="s">
        <v>7352</v>
      </c>
      <c r="AA492" t="s">
        <v>74</v>
      </c>
      <c r="AB492" t="s">
        <v>74</v>
      </c>
      <c r="AC492" t="s">
        <v>74</v>
      </c>
      <c r="AD492" t="s">
        <v>74</v>
      </c>
      <c r="AE492" t="s">
        <v>74</v>
      </c>
      <c r="AF492" t="s">
        <v>74</v>
      </c>
      <c r="AG492">
        <v>35</v>
      </c>
      <c r="AH492">
        <v>25</v>
      </c>
      <c r="AI492">
        <v>31</v>
      </c>
      <c r="AJ492">
        <v>0</v>
      </c>
      <c r="AK492">
        <v>20</v>
      </c>
      <c r="AL492" t="s">
        <v>1644</v>
      </c>
      <c r="AM492" t="s">
        <v>1645</v>
      </c>
      <c r="AN492" t="s">
        <v>1646</v>
      </c>
      <c r="AO492" t="s">
        <v>2603</v>
      </c>
      <c r="AP492" t="s">
        <v>2619</v>
      </c>
      <c r="AQ492" t="s">
        <v>74</v>
      </c>
      <c r="AR492" t="s">
        <v>2604</v>
      </c>
      <c r="AS492" t="s">
        <v>2605</v>
      </c>
      <c r="AT492" t="s">
        <v>7250</v>
      </c>
      <c r="AU492">
        <v>2004</v>
      </c>
      <c r="AV492">
        <v>36</v>
      </c>
      <c r="AW492">
        <v>3</v>
      </c>
      <c r="AX492" t="s">
        <v>74</v>
      </c>
      <c r="AY492" t="s">
        <v>74</v>
      </c>
      <c r="AZ492" t="s">
        <v>74</v>
      </c>
      <c r="BA492" t="s">
        <v>74</v>
      </c>
      <c r="BB492">
        <v>308</v>
      </c>
      <c r="BC492">
        <v>313</v>
      </c>
      <c r="BD492" t="s">
        <v>74</v>
      </c>
      <c r="BE492" t="s">
        <v>7353</v>
      </c>
      <c r="BF492" t="str">
        <f>HYPERLINK("http://dx.doi.org/10.1657/1523-0430(2004)036[0308:OOSOOM]2.0.CO;2","http://dx.doi.org/10.1657/1523-0430(2004)036[0308:OOSOOM]2.0.CO;2")</f>
        <v>http://dx.doi.org/10.1657/1523-0430(2004)036[0308:OOSOOM]2.0.CO;2</v>
      </c>
      <c r="BG492" t="s">
        <v>74</v>
      </c>
      <c r="BH492" t="s">
        <v>74</v>
      </c>
      <c r="BI492">
        <v>6</v>
      </c>
      <c r="BJ492" t="s">
        <v>2607</v>
      </c>
      <c r="BK492" t="s">
        <v>1257</v>
      </c>
      <c r="BL492" t="s">
        <v>1557</v>
      </c>
      <c r="BM492" t="s">
        <v>7308</v>
      </c>
      <c r="BN492" t="s">
        <v>74</v>
      </c>
      <c r="BO492" t="s">
        <v>988</v>
      </c>
      <c r="BP492" t="s">
        <v>74</v>
      </c>
      <c r="BQ492" t="s">
        <v>74</v>
      </c>
      <c r="BR492" t="s">
        <v>98</v>
      </c>
      <c r="BS492" t="s">
        <v>7354</v>
      </c>
      <c r="BT492" t="str">
        <f>HYPERLINK("https%3A%2F%2Fwww.webofscience.com%2Fwos%2Fwoscc%2Ffull-record%2FWOS:000226706900005","View Full Record in Web of Science")</f>
        <v>View Full Record in Web of Science</v>
      </c>
    </row>
    <row r="493" spans="1:72" x14ac:dyDescent="0.15">
      <c r="A493" t="s">
        <v>122</v>
      </c>
      <c r="B493" t="s">
        <v>7355</v>
      </c>
      <c r="C493" t="s">
        <v>74</v>
      </c>
      <c r="D493" t="s">
        <v>74</v>
      </c>
      <c r="E493" t="s">
        <v>74</v>
      </c>
      <c r="F493" t="s">
        <v>7355</v>
      </c>
      <c r="G493" t="s">
        <v>74</v>
      </c>
      <c r="H493" t="s">
        <v>74</v>
      </c>
      <c r="I493" t="s">
        <v>7356</v>
      </c>
      <c r="J493" t="s">
        <v>2591</v>
      </c>
      <c r="K493" t="s">
        <v>74</v>
      </c>
      <c r="L493" t="s">
        <v>74</v>
      </c>
      <c r="M493" t="s">
        <v>79</v>
      </c>
      <c r="N493" t="s">
        <v>1129</v>
      </c>
      <c r="O493" t="s">
        <v>7312</v>
      </c>
      <c r="P493" t="s">
        <v>7313</v>
      </c>
      <c r="Q493" t="s">
        <v>7314</v>
      </c>
      <c r="R493" t="s">
        <v>74</v>
      </c>
      <c r="S493" t="s">
        <v>74</v>
      </c>
      <c r="T493" t="s">
        <v>74</v>
      </c>
      <c r="U493" t="s">
        <v>7357</v>
      </c>
      <c r="V493" t="s">
        <v>7358</v>
      </c>
      <c r="W493" t="s">
        <v>7359</v>
      </c>
      <c r="X493" t="s">
        <v>7360</v>
      </c>
      <c r="Y493" t="s">
        <v>7361</v>
      </c>
      <c r="Z493" t="s">
        <v>7362</v>
      </c>
      <c r="AA493" t="s">
        <v>7363</v>
      </c>
      <c r="AB493" t="s">
        <v>7364</v>
      </c>
      <c r="AC493" t="s">
        <v>74</v>
      </c>
      <c r="AD493" t="s">
        <v>74</v>
      </c>
      <c r="AE493" t="s">
        <v>74</v>
      </c>
      <c r="AF493" t="s">
        <v>74</v>
      </c>
      <c r="AG493">
        <v>53</v>
      </c>
      <c r="AH493">
        <v>15</v>
      </c>
      <c r="AI493">
        <v>16</v>
      </c>
      <c r="AJ493">
        <v>0</v>
      </c>
      <c r="AK493">
        <v>13</v>
      </c>
      <c r="AL493" t="s">
        <v>2600</v>
      </c>
      <c r="AM493" t="s">
        <v>2601</v>
      </c>
      <c r="AN493" t="s">
        <v>2602</v>
      </c>
      <c r="AO493" t="s">
        <v>2603</v>
      </c>
      <c r="AP493" t="s">
        <v>2619</v>
      </c>
      <c r="AQ493" t="s">
        <v>74</v>
      </c>
      <c r="AR493" t="s">
        <v>2604</v>
      </c>
      <c r="AS493" t="s">
        <v>2605</v>
      </c>
      <c r="AT493" t="s">
        <v>7250</v>
      </c>
      <c r="AU493">
        <v>2004</v>
      </c>
      <c r="AV493">
        <v>36</v>
      </c>
      <c r="AW493">
        <v>3</v>
      </c>
      <c r="AX493" t="s">
        <v>74</v>
      </c>
      <c r="AY493" t="s">
        <v>74</v>
      </c>
      <c r="AZ493" t="s">
        <v>74</v>
      </c>
      <c r="BA493" t="s">
        <v>74</v>
      </c>
      <c r="BB493">
        <v>314</v>
      </c>
      <c r="BC493">
        <v>322</v>
      </c>
      <c r="BD493" t="s">
        <v>74</v>
      </c>
      <c r="BE493" t="s">
        <v>7365</v>
      </c>
      <c r="BF493" t="str">
        <f>HYPERLINK("http://dx.doi.org/10.1657/1523-0430(2004)036[0314:MTLOTF]2.0.CO;2","http://dx.doi.org/10.1657/1523-0430(2004)036[0314:MTLOTF]2.0.CO;2")</f>
        <v>http://dx.doi.org/10.1657/1523-0430(2004)036[0314:MTLOTF]2.0.CO;2</v>
      </c>
      <c r="BG493" t="s">
        <v>74</v>
      </c>
      <c r="BH493" t="s">
        <v>74</v>
      </c>
      <c r="BI493">
        <v>9</v>
      </c>
      <c r="BJ493" t="s">
        <v>2607</v>
      </c>
      <c r="BK493" t="s">
        <v>1257</v>
      </c>
      <c r="BL493" t="s">
        <v>1557</v>
      </c>
      <c r="BM493" t="s">
        <v>7308</v>
      </c>
      <c r="BN493" t="s">
        <v>74</v>
      </c>
      <c r="BO493" t="s">
        <v>1866</v>
      </c>
      <c r="BP493" t="s">
        <v>74</v>
      </c>
      <c r="BQ493" t="s">
        <v>74</v>
      </c>
      <c r="BR493" t="s">
        <v>98</v>
      </c>
      <c r="BS493" t="s">
        <v>7366</v>
      </c>
      <c r="BT493" t="str">
        <f>HYPERLINK("https%3A%2F%2Fwww.webofscience.com%2Fwos%2Fwoscc%2Ffull-record%2FWOS:000226706900006","View Full Record in Web of Science")</f>
        <v>View Full Record in Web of Science</v>
      </c>
    </row>
    <row r="494" spans="1:72" x14ac:dyDescent="0.15">
      <c r="A494" t="s">
        <v>122</v>
      </c>
      <c r="B494" t="s">
        <v>7367</v>
      </c>
      <c r="C494" t="s">
        <v>74</v>
      </c>
      <c r="D494" t="s">
        <v>74</v>
      </c>
      <c r="E494" t="s">
        <v>74</v>
      </c>
      <c r="F494" t="s">
        <v>7367</v>
      </c>
      <c r="G494" t="s">
        <v>74</v>
      </c>
      <c r="H494" t="s">
        <v>74</v>
      </c>
      <c r="I494" t="s">
        <v>7368</v>
      </c>
      <c r="J494" t="s">
        <v>2591</v>
      </c>
      <c r="K494" t="s">
        <v>74</v>
      </c>
      <c r="L494" t="s">
        <v>74</v>
      </c>
      <c r="M494" t="s">
        <v>79</v>
      </c>
      <c r="N494" t="s">
        <v>1129</v>
      </c>
      <c r="O494" t="s">
        <v>7312</v>
      </c>
      <c r="P494" t="s">
        <v>7313</v>
      </c>
      <c r="Q494" t="s">
        <v>7314</v>
      </c>
      <c r="R494" t="s">
        <v>74</v>
      </c>
      <c r="S494" t="s">
        <v>74</v>
      </c>
      <c r="T494" t="s">
        <v>74</v>
      </c>
      <c r="U494" t="s">
        <v>7369</v>
      </c>
      <c r="V494" t="s">
        <v>7370</v>
      </c>
      <c r="W494" t="s">
        <v>7371</v>
      </c>
      <c r="X494" t="s">
        <v>7372</v>
      </c>
      <c r="Y494" t="s">
        <v>7373</v>
      </c>
      <c r="Z494" t="s">
        <v>7374</v>
      </c>
      <c r="AA494" t="s">
        <v>7375</v>
      </c>
      <c r="AB494" t="s">
        <v>7376</v>
      </c>
      <c r="AC494" t="s">
        <v>74</v>
      </c>
      <c r="AD494" t="s">
        <v>74</v>
      </c>
      <c r="AE494" t="s">
        <v>74</v>
      </c>
      <c r="AF494" t="s">
        <v>74</v>
      </c>
      <c r="AG494">
        <v>69</v>
      </c>
      <c r="AH494">
        <v>92</v>
      </c>
      <c r="AI494">
        <v>99</v>
      </c>
      <c r="AJ494">
        <v>2</v>
      </c>
      <c r="AK494">
        <v>55</v>
      </c>
      <c r="AL494" t="s">
        <v>1644</v>
      </c>
      <c r="AM494" t="s">
        <v>1645</v>
      </c>
      <c r="AN494" t="s">
        <v>1646</v>
      </c>
      <c r="AO494" t="s">
        <v>2603</v>
      </c>
      <c r="AP494" t="s">
        <v>2619</v>
      </c>
      <c r="AQ494" t="s">
        <v>74</v>
      </c>
      <c r="AR494" t="s">
        <v>2604</v>
      </c>
      <c r="AS494" t="s">
        <v>2605</v>
      </c>
      <c r="AT494" t="s">
        <v>7250</v>
      </c>
      <c r="AU494">
        <v>2004</v>
      </c>
      <c r="AV494">
        <v>36</v>
      </c>
      <c r="AW494">
        <v>3</v>
      </c>
      <c r="AX494" t="s">
        <v>74</v>
      </c>
      <c r="AY494" t="s">
        <v>74</v>
      </c>
      <c r="AZ494" t="s">
        <v>74</v>
      </c>
      <c r="BA494" t="s">
        <v>74</v>
      </c>
      <c r="BB494">
        <v>323</v>
      </c>
      <c r="BC494">
        <v>332</v>
      </c>
      <c r="BD494" t="s">
        <v>74</v>
      </c>
      <c r="BE494" t="s">
        <v>7377</v>
      </c>
      <c r="BF494" t="str">
        <f>HYPERLINK("http://dx.doi.org/10.1657/1523-0430(2004)036[0323:VCITNM]2.0.CO;2","http://dx.doi.org/10.1657/1523-0430(2004)036[0323:VCITNM]2.0.CO;2")</f>
        <v>http://dx.doi.org/10.1657/1523-0430(2004)036[0323:VCITNM]2.0.CO;2</v>
      </c>
      <c r="BG494" t="s">
        <v>74</v>
      </c>
      <c r="BH494" t="s">
        <v>74</v>
      </c>
      <c r="BI494">
        <v>10</v>
      </c>
      <c r="BJ494" t="s">
        <v>2607</v>
      </c>
      <c r="BK494" t="s">
        <v>1257</v>
      </c>
      <c r="BL494" t="s">
        <v>1557</v>
      </c>
      <c r="BM494" t="s">
        <v>7308</v>
      </c>
      <c r="BN494" t="s">
        <v>74</v>
      </c>
      <c r="BO494" t="s">
        <v>1866</v>
      </c>
      <c r="BP494" t="s">
        <v>74</v>
      </c>
      <c r="BQ494" t="s">
        <v>74</v>
      </c>
      <c r="BR494" t="s">
        <v>98</v>
      </c>
      <c r="BS494" t="s">
        <v>7378</v>
      </c>
      <c r="BT494" t="str">
        <f>HYPERLINK("https%3A%2F%2Fwww.webofscience.com%2Fwos%2Fwoscc%2Ffull-record%2FWOS:000226706900007","View Full Record in Web of Science")</f>
        <v>View Full Record in Web of Science</v>
      </c>
    </row>
    <row r="495" spans="1:72" x14ac:dyDescent="0.15">
      <c r="A495" t="s">
        <v>122</v>
      </c>
      <c r="B495" t="s">
        <v>7379</v>
      </c>
      <c r="C495" t="s">
        <v>74</v>
      </c>
      <c r="D495" t="s">
        <v>74</v>
      </c>
      <c r="E495" t="s">
        <v>74</v>
      </c>
      <c r="F495" t="s">
        <v>7379</v>
      </c>
      <c r="G495" t="s">
        <v>74</v>
      </c>
      <c r="H495" t="s">
        <v>74</v>
      </c>
      <c r="I495" t="s">
        <v>7380</v>
      </c>
      <c r="J495" t="s">
        <v>2591</v>
      </c>
      <c r="K495" t="s">
        <v>74</v>
      </c>
      <c r="L495" t="s">
        <v>74</v>
      </c>
      <c r="M495" t="s">
        <v>79</v>
      </c>
      <c r="N495" t="s">
        <v>1129</v>
      </c>
      <c r="O495" t="s">
        <v>7312</v>
      </c>
      <c r="P495" t="s">
        <v>7313</v>
      </c>
      <c r="Q495" t="s">
        <v>7314</v>
      </c>
      <c r="R495" t="s">
        <v>74</v>
      </c>
      <c r="S495" t="s">
        <v>74</v>
      </c>
      <c r="T495" t="s">
        <v>74</v>
      </c>
      <c r="U495" t="s">
        <v>7381</v>
      </c>
      <c r="V495" t="s">
        <v>7382</v>
      </c>
      <c r="W495" t="s">
        <v>7383</v>
      </c>
      <c r="X495" t="s">
        <v>7384</v>
      </c>
      <c r="Y495" t="s">
        <v>7385</v>
      </c>
      <c r="Z495" t="s">
        <v>7386</v>
      </c>
      <c r="AA495" t="s">
        <v>74</v>
      </c>
      <c r="AB495" t="s">
        <v>7387</v>
      </c>
      <c r="AC495" t="s">
        <v>74</v>
      </c>
      <c r="AD495" t="s">
        <v>74</v>
      </c>
      <c r="AE495" t="s">
        <v>74</v>
      </c>
      <c r="AF495" t="s">
        <v>74</v>
      </c>
      <c r="AG495">
        <v>43</v>
      </c>
      <c r="AH495">
        <v>78</v>
      </c>
      <c r="AI495">
        <v>85</v>
      </c>
      <c r="AJ495">
        <v>0</v>
      </c>
      <c r="AK495">
        <v>32</v>
      </c>
      <c r="AL495" t="s">
        <v>1644</v>
      </c>
      <c r="AM495" t="s">
        <v>1645</v>
      </c>
      <c r="AN495" t="s">
        <v>1646</v>
      </c>
      <c r="AO495" t="s">
        <v>2603</v>
      </c>
      <c r="AP495" t="s">
        <v>2619</v>
      </c>
      <c r="AQ495" t="s">
        <v>74</v>
      </c>
      <c r="AR495" t="s">
        <v>2604</v>
      </c>
      <c r="AS495" t="s">
        <v>2605</v>
      </c>
      <c r="AT495" t="s">
        <v>7250</v>
      </c>
      <c r="AU495">
        <v>2004</v>
      </c>
      <c r="AV495">
        <v>36</v>
      </c>
      <c r="AW495">
        <v>3</v>
      </c>
      <c r="AX495" t="s">
        <v>74</v>
      </c>
      <c r="AY495" t="s">
        <v>74</v>
      </c>
      <c r="AZ495" t="s">
        <v>74</v>
      </c>
      <c r="BA495" t="s">
        <v>74</v>
      </c>
      <c r="BB495">
        <v>333</v>
      </c>
      <c r="BC495">
        <v>341</v>
      </c>
      <c r="BD495" t="s">
        <v>74</v>
      </c>
      <c r="BE495" t="s">
        <v>7388</v>
      </c>
      <c r="BF495" t="str">
        <f>HYPERLINK("http://dx.doi.org/10.1657/1523-0430(2004)036[0333:EOWSAG]2.0.CO;2","http://dx.doi.org/10.1657/1523-0430(2004)036[0333:EOWSAG]2.0.CO;2")</f>
        <v>http://dx.doi.org/10.1657/1523-0430(2004)036[0333:EOWSAG]2.0.CO;2</v>
      </c>
      <c r="BG495" t="s">
        <v>74</v>
      </c>
      <c r="BH495" t="s">
        <v>74</v>
      </c>
      <c r="BI495">
        <v>9</v>
      </c>
      <c r="BJ495" t="s">
        <v>2607</v>
      </c>
      <c r="BK495" t="s">
        <v>1257</v>
      </c>
      <c r="BL495" t="s">
        <v>1557</v>
      </c>
      <c r="BM495" t="s">
        <v>7308</v>
      </c>
      <c r="BN495" t="s">
        <v>74</v>
      </c>
      <c r="BO495" t="s">
        <v>988</v>
      </c>
      <c r="BP495" t="s">
        <v>74</v>
      </c>
      <c r="BQ495" t="s">
        <v>74</v>
      </c>
      <c r="BR495" t="s">
        <v>98</v>
      </c>
      <c r="BS495" t="s">
        <v>7389</v>
      </c>
      <c r="BT495" t="str">
        <f>HYPERLINK("https%3A%2F%2Fwww.webofscience.com%2Fwos%2Fwoscc%2Ffull-record%2FWOS:000226706900008","View Full Record in Web of Science")</f>
        <v>View Full Record in Web of Science</v>
      </c>
    </row>
    <row r="496" spans="1:72" x14ac:dyDescent="0.15">
      <c r="A496" t="s">
        <v>122</v>
      </c>
      <c r="B496" t="s">
        <v>7390</v>
      </c>
      <c r="C496" t="s">
        <v>74</v>
      </c>
      <c r="D496" t="s">
        <v>74</v>
      </c>
      <c r="E496" t="s">
        <v>74</v>
      </c>
      <c r="F496" t="s">
        <v>7390</v>
      </c>
      <c r="G496" t="s">
        <v>74</v>
      </c>
      <c r="H496" t="s">
        <v>74</v>
      </c>
      <c r="I496" t="s">
        <v>7391</v>
      </c>
      <c r="J496" t="s">
        <v>2591</v>
      </c>
      <c r="K496" t="s">
        <v>74</v>
      </c>
      <c r="L496" t="s">
        <v>74</v>
      </c>
      <c r="M496" t="s">
        <v>79</v>
      </c>
      <c r="N496" t="s">
        <v>1129</v>
      </c>
      <c r="O496" t="s">
        <v>7312</v>
      </c>
      <c r="P496" t="s">
        <v>7313</v>
      </c>
      <c r="Q496" t="s">
        <v>7314</v>
      </c>
      <c r="R496" t="s">
        <v>74</v>
      </c>
      <c r="S496" t="s">
        <v>74</v>
      </c>
      <c r="T496" t="s">
        <v>74</v>
      </c>
      <c r="U496" t="s">
        <v>7392</v>
      </c>
      <c r="V496" t="s">
        <v>7393</v>
      </c>
      <c r="W496" t="s">
        <v>7394</v>
      </c>
      <c r="X496" t="s">
        <v>7395</v>
      </c>
      <c r="Y496" t="s">
        <v>7396</v>
      </c>
      <c r="Z496" t="s">
        <v>7397</v>
      </c>
      <c r="AA496" t="s">
        <v>7398</v>
      </c>
      <c r="AB496" t="s">
        <v>7399</v>
      </c>
      <c r="AC496" t="s">
        <v>74</v>
      </c>
      <c r="AD496" t="s">
        <v>74</v>
      </c>
      <c r="AE496" t="s">
        <v>74</v>
      </c>
      <c r="AF496" t="s">
        <v>74</v>
      </c>
      <c r="AG496">
        <v>36</v>
      </c>
      <c r="AH496">
        <v>22</v>
      </c>
      <c r="AI496">
        <v>23</v>
      </c>
      <c r="AJ496">
        <v>0</v>
      </c>
      <c r="AK496">
        <v>12</v>
      </c>
      <c r="AL496" t="s">
        <v>2600</v>
      </c>
      <c r="AM496" t="s">
        <v>2601</v>
      </c>
      <c r="AN496" t="s">
        <v>2602</v>
      </c>
      <c r="AO496" t="s">
        <v>2603</v>
      </c>
      <c r="AP496" t="s">
        <v>74</v>
      </c>
      <c r="AQ496" t="s">
        <v>74</v>
      </c>
      <c r="AR496" t="s">
        <v>2604</v>
      </c>
      <c r="AS496" t="s">
        <v>2605</v>
      </c>
      <c r="AT496" t="s">
        <v>7250</v>
      </c>
      <c r="AU496">
        <v>2004</v>
      </c>
      <c r="AV496">
        <v>36</v>
      </c>
      <c r="AW496">
        <v>3</v>
      </c>
      <c r="AX496" t="s">
        <v>74</v>
      </c>
      <c r="AY496" t="s">
        <v>74</v>
      </c>
      <c r="AZ496" t="s">
        <v>74</v>
      </c>
      <c r="BA496" t="s">
        <v>74</v>
      </c>
      <c r="BB496">
        <v>342</v>
      </c>
      <c r="BC496">
        <v>346</v>
      </c>
      <c r="BD496" t="s">
        <v>74</v>
      </c>
      <c r="BE496" t="s">
        <v>7400</v>
      </c>
      <c r="BF496" t="str">
        <f>HYPERLINK("http://dx.doi.org/10.1657/1523-0430(2004)036[0342:PBAWCI]2.0.CO;2","http://dx.doi.org/10.1657/1523-0430(2004)036[0342:PBAWCI]2.0.CO;2")</f>
        <v>http://dx.doi.org/10.1657/1523-0430(2004)036[0342:PBAWCI]2.0.CO;2</v>
      </c>
      <c r="BG496" t="s">
        <v>74</v>
      </c>
      <c r="BH496" t="s">
        <v>74</v>
      </c>
      <c r="BI496">
        <v>5</v>
      </c>
      <c r="BJ496" t="s">
        <v>2607</v>
      </c>
      <c r="BK496" t="s">
        <v>1257</v>
      </c>
      <c r="BL496" t="s">
        <v>1557</v>
      </c>
      <c r="BM496" t="s">
        <v>7308</v>
      </c>
      <c r="BN496" t="s">
        <v>74</v>
      </c>
      <c r="BO496" t="s">
        <v>988</v>
      </c>
      <c r="BP496" t="s">
        <v>74</v>
      </c>
      <c r="BQ496" t="s">
        <v>74</v>
      </c>
      <c r="BR496" t="s">
        <v>98</v>
      </c>
      <c r="BS496" t="s">
        <v>7401</v>
      </c>
      <c r="BT496" t="str">
        <f>HYPERLINK("https%3A%2F%2Fwww.webofscience.com%2Fwos%2Fwoscc%2Ffull-record%2FWOS:000226706900009","View Full Record in Web of Science")</f>
        <v>View Full Record in Web of Science</v>
      </c>
    </row>
    <row r="497" spans="1:72" x14ac:dyDescent="0.15">
      <c r="A497" t="s">
        <v>122</v>
      </c>
      <c r="B497" t="s">
        <v>7402</v>
      </c>
      <c r="C497" t="s">
        <v>74</v>
      </c>
      <c r="D497" t="s">
        <v>74</v>
      </c>
      <c r="E497" t="s">
        <v>74</v>
      </c>
      <c r="F497" t="s">
        <v>7402</v>
      </c>
      <c r="G497" t="s">
        <v>74</v>
      </c>
      <c r="H497" t="s">
        <v>74</v>
      </c>
      <c r="I497" t="s">
        <v>7403</v>
      </c>
      <c r="J497" t="s">
        <v>2591</v>
      </c>
      <c r="K497" t="s">
        <v>74</v>
      </c>
      <c r="L497" t="s">
        <v>74</v>
      </c>
      <c r="M497" t="s">
        <v>79</v>
      </c>
      <c r="N497" t="s">
        <v>1129</v>
      </c>
      <c r="O497" t="s">
        <v>7312</v>
      </c>
      <c r="P497" t="s">
        <v>7313</v>
      </c>
      <c r="Q497" t="s">
        <v>7314</v>
      </c>
      <c r="R497" t="s">
        <v>74</v>
      </c>
      <c r="S497" t="s">
        <v>74</v>
      </c>
      <c r="T497" t="s">
        <v>74</v>
      </c>
      <c r="U497" t="s">
        <v>7404</v>
      </c>
      <c r="V497" t="s">
        <v>7405</v>
      </c>
      <c r="W497" t="s">
        <v>7406</v>
      </c>
      <c r="X497" t="s">
        <v>7407</v>
      </c>
      <c r="Y497" t="s">
        <v>7408</v>
      </c>
      <c r="Z497" t="s">
        <v>7409</v>
      </c>
      <c r="AA497" t="s">
        <v>7410</v>
      </c>
      <c r="AB497" t="s">
        <v>7411</v>
      </c>
      <c r="AC497" t="s">
        <v>74</v>
      </c>
      <c r="AD497" t="s">
        <v>74</v>
      </c>
      <c r="AE497" t="s">
        <v>74</v>
      </c>
      <c r="AF497" t="s">
        <v>74</v>
      </c>
      <c r="AG497">
        <v>36</v>
      </c>
      <c r="AH497">
        <v>39</v>
      </c>
      <c r="AI497">
        <v>42</v>
      </c>
      <c r="AJ497">
        <v>2</v>
      </c>
      <c r="AK497">
        <v>12</v>
      </c>
      <c r="AL497" t="s">
        <v>1644</v>
      </c>
      <c r="AM497" t="s">
        <v>1645</v>
      </c>
      <c r="AN497" t="s">
        <v>1646</v>
      </c>
      <c r="AO497" t="s">
        <v>2603</v>
      </c>
      <c r="AP497" t="s">
        <v>2619</v>
      </c>
      <c r="AQ497" t="s">
        <v>74</v>
      </c>
      <c r="AR497" t="s">
        <v>2604</v>
      </c>
      <c r="AS497" t="s">
        <v>2605</v>
      </c>
      <c r="AT497" t="s">
        <v>7250</v>
      </c>
      <c r="AU497">
        <v>2004</v>
      </c>
      <c r="AV497">
        <v>36</v>
      </c>
      <c r="AW497">
        <v>3</v>
      </c>
      <c r="AX497" t="s">
        <v>74</v>
      </c>
      <c r="AY497" t="s">
        <v>74</v>
      </c>
      <c r="AZ497" t="s">
        <v>74</v>
      </c>
      <c r="BA497" t="s">
        <v>74</v>
      </c>
      <c r="BB497">
        <v>347</v>
      </c>
      <c r="BC497">
        <v>356</v>
      </c>
      <c r="BD497" t="s">
        <v>74</v>
      </c>
      <c r="BE497" t="s">
        <v>7412</v>
      </c>
      <c r="BF497" t="str">
        <f>HYPERLINK("http://dx.doi.org/10.1657/1523-0430(2004)036[0347:VITGHA]2.0.CO;2","http://dx.doi.org/10.1657/1523-0430(2004)036[0347:VITGHA]2.0.CO;2")</f>
        <v>http://dx.doi.org/10.1657/1523-0430(2004)036[0347:VITGHA]2.0.CO;2</v>
      </c>
      <c r="BG497" t="s">
        <v>74</v>
      </c>
      <c r="BH497" t="s">
        <v>74</v>
      </c>
      <c r="BI497">
        <v>10</v>
      </c>
      <c r="BJ497" t="s">
        <v>2607</v>
      </c>
      <c r="BK497" t="s">
        <v>1257</v>
      </c>
      <c r="BL497" t="s">
        <v>1557</v>
      </c>
      <c r="BM497" t="s">
        <v>7308</v>
      </c>
      <c r="BN497" t="s">
        <v>74</v>
      </c>
      <c r="BO497" t="s">
        <v>988</v>
      </c>
      <c r="BP497" t="s">
        <v>74</v>
      </c>
      <c r="BQ497" t="s">
        <v>74</v>
      </c>
      <c r="BR497" t="s">
        <v>98</v>
      </c>
      <c r="BS497" t="s">
        <v>7413</v>
      </c>
      <c r="BT497" t="str">
        <f>HYPERLINK("https%3A%2F%2Fwww.webofscience.com%2Fwos%2Fwoscc%2Ffull-record%2FWOS:000226706900010","View Full Record in Web of Science")</f>
        <v>View Full Record in Web of Science</v>
      </c>
    </row>
    <row r="498" spans="1:72" x14ac:dyDescent="0.15">
      <c r="A498" t="s">
        <v>122</v>
      </c>
      <c r="B498" t="s">
        <v>7414</v>
      </c>
      <c r="C498" t="s">
        <v>74</v>
      </c>
      <c r="D498" t="s">
        <v>74</v>
      </c>
      <c r="E498" t="s">
        <v>74</v>
      </c>
      <c r="F498" t="s">
        <v>7414</v>
      </c>
      <c r="G498" t="s">
        <v>74</v>
      </c>
      <c r="H498" t="s">
        <v>74</v>
      </c>
      <c r="I498" t="s">
        <v>7415</v>
      </c>
      <c r="J498" t="s">
        <v>2591</v>
      </c>
      <c r="K498" t="s">
        <v>74</v>
      </c>
      <c r="L498" t="s">
        <v>74</v>
      </c>
      <c r="M498" t="s">
        <v>79</v>
      </c>
      <c r="N498" t="s">
        <v>1129</v>
      </c>
      <c r="O498" t="s">
        <v>7312</v>
      </c>
      <c r="P498" t="s">
        <v>7313</v>
      </c>
      <c r="Q498" t="s">
        <v>7314</v>
      </c>
      <c r="R498" t="s">
        <v>74</v>
      </c>
      <c r="S498" t="s">
        <v>74</v>
      </c>
      <c r="T498" t="s">
        <v>74</v>
      </c>
      <c r="U498" t="s">
        <v>7416</v>
      </c>
      <c r="V498" t="s">
        <v>7417</v>
      </c>
      <c r="W498" t="s">
        <v>7418</v>
      </c>
      <c r="X498" t="s">
        <v>7419</v>
      </c>
      <c r="Y498" t="s">
        <v>7420</v>
      </c>
      <c r="Z498" t="s">
        <v>7421</v>
      </c>
      <c r="AA498" t="s">
        <v>74</v>
      </c>
      <c r="AB498" t="s">
        <v>74</v>
      </c>
      <c r="AC498" t="s">
        <v>74</v>
      </c>
      <c r="AD498" t="s">
        <v>74</v>
      </c>
      <c r="AE498" t="s">
        <v>74</v>
      </c>
      <c r="AF498" t="s">
        <v>74</v>
      </c>
      <c r="AG498">
        <v>16</v>
      </c>
      <c r="AH498">
        <v>8</v>
      </c>
      <c r="AI498">
        <v>8</v>
      </c>
      <c r="AJ498">
        <v>0</v>
      </c>
      <c r="AK498">
        <v>5</v>
      </c>
      <c r="AL498" t="s">
        <v>1644</v>
      </c>
      <c r="AM498" t="s">
        <v>1645</v>
      </c>
      <c r="AN498" t="s">
        <v>1646</v>
      </c>
      <c r="AO498" t="s">
        <v>2603</v>
      </c>
      <c r="AP498" t="s">
        <v>2619</v>
      </c>
      <c r="AQ498" t="s">
        <v>74</v>
      </c>
      <c r="AR498" t="s">
        <v>2604</v>
      </c>
      <c r="AS498" t="s">
        <v>2605</v>
      </c>
      <c r="AT498" t="s">
        <v>7250</v>
      </c>
      <c r="AU498">
        <v>2004</v>
      </c>
      <c r="AV498">
        <v>36</v>
      </c>
      <c r="AW498">
        <v>3</v>
      </c>
      <c r="AX498" t="s">
        <v>74</v>
      </c>
      <c r="AY498" t="s">
        <v>74</v>
      </c>
      <c r="AZ498" t="s">
        <v>74</v>
      </c>
      <c r="BA498" t="s">
        <v>74</v>
      </c>
      <c r="BB498">
        <v>357</v>
      </c>
      <c r="BC498">
        <v>363</v>
      </c>
      <c r="BD498" t="s">
        <v>74</v>
      </c>
      <c r="BE498" t="s">
        <v>7422</v>
      </c>
      <c r="BF498" t="str">
        <f>HYPERLINK("http://dx.doi.org/10.1657/1523-0430(2004)036[0357:ASURCO]2.0.CO;2","http://dx.doi.org/10.1657/1523-0430(2004)036[0357:ASURCO]2.0.CO;2")</f>
        <v>http://dx.doi.org/10.1657/1523-0430(2004)036[0357:ASURCO]2.0.CO;2</v>
      </c>
      <c r="BG498" t="s">
        <v>74</v>
      </c>
      <c r="BH498" t="s">
        <v>74</v>
      </c>
      <c r="BI498">
        <v>7</v>
      </c>
      <c r="BJ498" t="s">
        <v>2607</v>
      </c>
      <c r="BK498" t="s">
        <v>1257</v>
      </c>
      <c r="BL498" t="s">
        <v>1557</v>
      </c>
      <c r="BM498" t="s">
        <v>7308</v>
      </c>
      <c r="BN498" t="s">
        <v>74</v>
      </c>
      <c r="BO498" t="s">
        <v>2621</v>
      </c>
      <c r="BP498" t="s">
        <v>74</v>
      </c>
      <c r="BQ498" t="s">
        <v>74</v>
      </c>
      <c r="BR498" t="s">
        <v>98</v>
      </c>
      <c r="BS498" t="s">
        <v>7423</v>
      </c>
      <c r="BT498" t="str">
        <f>HYPERLINK("https%3A%2F%2Fwww.webofscience.com%2Fwos%2Fwoscc%2Ffull-record%2FWOS:000226706900011","View Full Record in Web of Science")</f>
        <v>View Full Record in Web of Science</v>
      </c>
    </row>
    <row r="499" spans="1:72" x14ac:dyDescent="0.15">
      <c r="A499" t="s">
        <v>122</v>
      </c>
      <c r="B499" t="s">
        <v>7424</v>
      </c>
      <c r="C499" t="s">
        <v>74</v>
      </c>
      <c r="D499" t="s">
        <v>74</v>
      </c>
      <c r="E499" t="s">
        <v>74</v>
      </c>
      <c r="F499" t="s">
        <v>7424</v>
      </c>
      <c r="G499" t="s">
        <v>74</v>
      </c>
      <c r="H499" t="s">
        <v>74</v>
      </c>
      <c r="I499" t="s">
        <v>7425</v>
      </c>
      <c r="J499" t="s">
        <v>2591</v>
      </c>
      <c r="K499" t="s">
        <v>74</v>
      </c>
      <c r="L499" t="s">
        <v>74</v>
      </c>
      <c r="M499" t="s">
        <v>79</v>
      </c>
      <c r="N499" t="s">
        <v>1129</v>
      </c>
      <c r="O499" t="s">
        <v>7312</v>
      </c>
      <c r="P499" t="s">
        <v>7313</v>
      </c>
      <c r="Q499" t="s">
        <v>7314</v>
      </c>
      <c r="R499" t="s">
        <v>74</v>
      </c>
      <c r="S499" t="s">
        <v>74</v>
      </c>
      <c r="T499" t="s">
        <v>74</v>
      </c>
      <c r="U499" t="s">
        <v>7426</v>
      </c>
      <c r="V499" t="s">
        <v>7427</v>
      </c>
      <c r="W499" t="s">
        <v>7428</v>
      </c>
      <c r="X499" t="s">
        <v>7429</v>
      </c>
      <c r="Y499" t="s">
        <v>7430</v>
      </c>
      <c r="Z499" t="s">
        <v>7431</v>
      </c>
      <c r="AA499" t="s">
        <v>7432</v>
      </c>
      <c r="AB499" t="s">
        <v>7433</v>
      </c>
      <c r="AC499" t="s">
        <v>74</v>
      </c>
      <c r="AD499" t="s">
        <v>74</v>
      </c>
      <c r="AE499" t="s">
        <v>74</v>
      </c>
      <c r="AF499" t="s">
        <v>74</v>
      </c>
      <c r="AG499">
        <v>32</v>
      </c>
      <c r="AH499">
        <v>24</v>
      </c>
      <c r="AI499">
        <v>27</v>
      </c>
      <c r="AJ499">
        <v>0</v>
      </c>
      <c r="AK499">
        <v>9</v>
      </c>
      <c r="AL499" t="s">
        <v>1644</v>
      </c>
      <c r="AM499" t="s">
        <v>1645</v>
      </c>
      <c r="AN499" t="s">
        <v>1646</v>
      </c>
      <c r="AO499" t="s">
        <v>2603</v>
      </c>
      <c r="AP499" t="s">
        <v>2619</v>
      </c>
      <c r="AQ499" t="s">
        <v>74</v>
      </c>
      <c r="AR499" t="s">
        <v>2604</v>
      </c>
      <c r="AS499" t="s">
        <v>2605</v>
      </c>
      <c r="AT499" t="s">
        <v>7250</v>
      </c>
      <c r="AU499">
        <v>2004</v>
      </c>
      <c r="AV499">
        <v>36</v>
      </c>
      <c r="AW499">
        <v>3</v>
      </c>
      <c r="AX499" t="s">
        <v>74</v>
      </c>
      <c r="AY499" t="s">
        <v>74</v>
      </c>
      <c r="AZ499" t="s">
        <v>74</v>
      </c>
      <c r="BA499" t="s">
        <v>74</v>
      </c>
      <c r="BB499">
        <v>364</v>
      </c>
      <c r="BC499">
        <v>369</v>
      </c>
      <c r="BD499" t="s">
        <v>74</v>
      </c>
      <c r="BE499" t="s">
        <v>7434</v>
      </c>
      <c r="BF499" t="str">
        <f>HYPERLINK("http://dx.doi.org/10.1657/1523-0430(2004)036[0364:ROTAUR]2.0.CO;2","http://dx.doi.org/10.1657/1523-0430(2004)036[0364:ROTAUR]2.0.CO;2")</f>
        <v>http://dx.doi.org/10.1657/1523-0430(2004)036[0364:ROTAUR]2.0.CO;2</v>
      </c>
      <c r="BG499" t="s">
        <v>74</v>
      </c>
      <c r="BH499" t="s">
        <v>74</v>
      </c>
      <c r="BI499">
        <v>6</v>
      </c>
      <c r="BJ499" t="s">
        <v>2607</v>
      </c>
      <c r="BK499" t="s">
        <v>1257</v>
      </c>
      <c r="BL499" t="s">
        <v>1557</v>
      </c>
      <c r="BM499" t="s">
        <v>7308</v>
      </c>
      <c r="BN499" t="s">
        <v>74</v>
      </c>
      <c r="BO499" t="s">
        <v>273</v>
      </c>
      <c r="BP499" t="s">
        <v>74</v>
      </c>
      <c r="BQ499" t="s">
        <v>74</v>
      </c>
      <c r="BR499" t="s">
        <v>98</v>
      </c>
      <c r="BS499" t="s">
        <v>7435</v>
      </c>
      <c r="BT499" t="str">
        <f>HYPERLINK("https%3A%2F%2Fwww.webofscience.com%2Fwos%2Fwoscc%2Ffull-record%2FWOS:000226706900012","View Full Record in Web of Science")</f>
        <v>View Full Record in Web of Science</v>
      </c>
    </row>
    <row r="500" spans="1:72" x14ac:dyDescent="0.15">
      <c r="A500" t="s">
        <v>122</v>
      </c>
      <c r="B500" t="s">
        <v>7436</v>
      </c>
      <c r="C500" t="s">
        <v>74</v>
      </c>
      <c r="D500" t="s">
        <v>74</v>
      </c>
      <c r="E500" t="s">
        <v>74</v>
      </c>
      <c r="F500" t="s">
        <v>7436</v>
      </c>
      <c r="G500" t="s">
        <v>74</v>
      </c>
      <c r="H500" t="s">
        <v>74</v>
      </c>
      <c r="I500" t="s">
        <v>7437</v>
      </c>
      <c r="J500" t="s">
        <v>2591</v>
      </c>
      <c r="K500" t="s">
        <v>74</v>
      </c>
      <c r="L500" t="s">
        <v>74</v>
      </c>
      <c r="M500" t="s">
        <v>79</v>
      </c>
      <c r="N500" t="s">
        <v>1129</v>
      </c>
      <c r="O500" t="s">
        <v>7312</v>
      </c>
      <c r="P500" t="s">
        <v>7313</v>
      </c>
      <c r="Q500" t="s">
        <v>7314</v>
      </c>
      <c r="R500" t="s">
        <v>74</v>
      </c>
      <c r="S500" t="s">
        <v>74</v>
      </c>
      <c r="T500" t="s">
        <v>74</v>
      </c>
      <c r="U500" t="s">
        <v>7438</v>
      </c>
      <c r="V500" t="s">
        <v>7439</v>
      </c>
      <c r="W500" t="s">
        <v>7440</v>
      </c>
      <c r="X500" t="s">
        <v>7441</v>
      </c>
      <c r="Y500" t="s">
        <v>7442</v>
      </c>
      <c r="Z500" t="s">
        <v>7443</v>
      </c>
      <c r="AA500" t="s">
        <v>7444</v>
      </c>
      <c r="AB500" t="s">
        <v>7445</v>
      </c>
      <c r="AC500" t="s">
        <v>74</v>
      </c>
      <c r="AD500" t="s">
        <v>74</v>
      </c>
      <c r="AE500" t="s">
        <v>74</v>
      </c>
      <c r="AF500" t="s">
        <v>74</v>
      </c>
      <c r="AG500">
        <v>31</v>
      </c>
      <c r="AH500">
        <v>20</v>
      </c>
      <c r="AI500">
        <v>23</v>
      </c>
      <c r="AJ500">
        <v>1</v>
      </c>
      <c r="AK500">
        <v>15</v>
      </c>
      <c r="AL500" t="s">
        <v>1644</v>
      </c>
      <c r="AM500" t="s">
        <v>1645</v>
      </c>
      <c r="AN500" t="s">
        <v>1646</v>
      </c>
      <c r="AO500" t="s">
        <v>2603</v>
      </c>
      <c r="AP500" t="s">
        <v>2619</v>
      </c>
      <c r="AQ500" t="s">
        <v>74</v>
      </c>
      <c r="AR500" t="s">
        <v>2604</v>
      </c>
      <c r="AS500" t="s">
        <v>2605</v>
      </c>
      <c r="AT500" t="s">
        <v>7250</v>
      </c>
      <c r="AU500">
        <v>2004</v>
      </c>
      <c r="AV500">
        <v>36</v>
      </c>
      <c r="AW500">
        <v>3</v>
      </c>
      <c r="AX500" t="s">
        <v>74</v>
      </c>
      <c r="AY500" t="s">
        <v>74</v>
      </c>
      <c r="AZ500" t="s">
        <v>74</v>
      </c>
      <c r="BA500" t="s">
        <v>74</v>
      </c>
      <c r="BB500">
        <v>370</v>
      </c>
      <c r="BC500">
        <v>377</v>
      </c>
      <c r="BD500" t="s">
        <v>74</v>
      </c>
      <c r="BE500" t="s">
        <v>7446</v>
      </c>
      <c r="BF500" t="str">
        <f>HYPERLINK("http://dx.doi.org/10.1657/1523-0430(2004)036[0370:EOSDID]2.0.CO;2","http://dx.doi.org/10.1657/1523-0430(2004)036[0370:EOSDID]2.0.CO;2")</f>
        <v>http://dx.doi.org/10.1657/1523-0430(2004)036[0370:EOSDID]2.0.CO;2</v>
      </c>
      <c r="BG500" t="s">
        <v>74</v>
      </c>
      <c r="BH500" t="s">
        <v>74</v>
      </c>
      <c r="BI500">
        <v>8</v>
      </c>
      <c r="BJ500" t="s">
        <v>2607</v>
      </c>
      <c r="BK500" t="s">
        <v>1257</v>
      </c>
      <c r="BL500" t="s">
        <v>1557</v>
      </c>
      <c r="BM500" t="s">
        <v>7308</v>
      </c>
      <c r="BN500" t="s">
        <v>74</v>
      </c>
      <c r="BO500" t="s">
        <v>2621</v>
      </c>
      <c r="BP500" t="s">
        <v>74</v>
      </c>
      <c r="BQ500" t="s">
        <v>74</v>
      </c>
      <c r="BR500" t="s">
        <v>98</v>
      </c>
      <c r="BS500" t="s">
        <v>7447</v>
      </c>
      <c r="BT500" t="str">
        <f>HYPERLINK("https%3A%2F%2Fwww.webofscience.com%2Fwos%2Fwoscc%2Ffull-record%2FWOS:000226706900013","View Full Record in Web of Science")</f>
        <v>View Full Record in Web of Science</v>
      </c>
    </row>
    <row r="501" spans="1:72" x14ac:dyDescent="0.15">
      <c r="A501" t="s">
        <v>122</v>
      </c>
      <c r="B501" t="s">
        <v>7448</v>
      </c>
      <c r="C501" t="s">
        <v>74</v>
      </c>
      <c r="D501" t="s">
        <v>74</v>
      </c>
      <c r="E501" t="s">
        <v>74</v>
      </c>
      <c r="F501" t="s">
        <v>7448</v>
      </c>
      <c r="G501" t="s">
        <v>74</v>
      </c>
      <c r="H501" t="s">
        <v>74</v>
      </c>
      <c r="I501" t="s">
        <v>7449</v>
      </c>
      <c r="J501" t="s">
        <v>4303</v>
      </c>
      <c r="K501" t="s">
        <v>74</v>
      </c>
      <c r="L501" t="s">
        <v>74</v>
      </c>
      <c r="M501" t="s">
        <v>79</v>
      </c>
      <c r="N501" t="s">
        <v>126</v>
      </c>
      <c r="O501" t="s">
        <v>74</v>
      </c>
      <c r="P501" t="s">
        <v>74</v>
      </c>
      <c r="Q501" t="s">
        <v>74</v>
      </c>
      <c r="R501" t="s">
        <v>74</v>
      </c>
      <c r="S501" t="s">
        <v>74</v>
      </c>
      <c r="T501" t="s">
        <v>7450</v>
      </c>
      <c r="U501" t="s">
        <v>7451</v>
      </c>
      <c r="V501" t="s">
        <v>7452</v>
      </c>
      <c r="W501" t="s">
        <v>7453</v>
      </c>
      <c r="X501" t="s">
        <v>7454</v>
      </c>
      <c r="Y501" t="s">
        <v>7455</v>
      </c>
      <c r="Z501" t="s">
        <v>7456</v>
      </c>
      <c r="AA501" t="s">
        <v>7457</v>
      </c>
      <c r="AB501" t="s">
        <v>7458</v>
      </c>
      <c r="AC501" t="s">
        <v>74</v>
      </c>
      <c r="AD501" t="s">
        <v>74</v>
      </c>
      <c r="AE501" t="s">
        <v>74</v>
      </c>
      <c r="AF501" t="s">
        <v>74</v>
      </c>
      <c r="AG501">
        <v>56</v>
      </c>
      <c r="AH501">
        <v>63</v>
      </c>
      <c r="AI501">
        <v>75</v>
      </c>
      <c r="AJ501">
        <v>3</v>
      </c>
      <c r="AK501">
        <v>34</v>
      </c>
      <c r="AL501" t="s">
        <v>1273</v>
      </c>
      <c r="AM501" t="s">
        <v>197</v>
      </c>
      <c r="AN501" t="s">
        <v>1274</v>
      </c>
      <c r="AO501" t="s">
        <v>4312</v>
      </c>
      <c r="AP501" t="s">
        <v>4341</v>
      </c>
      <c r="AQ501" t="s">
        <v>74</v>
      </c>
      <c r="AR501" t="s">
        <v>4313</v>
      </c>
      <c r="AS501" t="s">
        <v>4314</v>
      </c>
      <c r="AT501" t="s">
        <v>7250</v>
      </c>
      <c r="AU501">
        <v>2004</v>
      </c>
      <c r="AV501">
        <v>38</v>
      </c>
      <c r="AW501">
        <v>24</v>
      </c>
      <c r="AX501" t="s">
        <v>74</v>
      </c>
      <c r="AY501" t="s">
        <v>74</v>
      </c>
      <c r="AZ501" t="s">
        <v>74</v>
      </c>
      <c r="BA501" t="s">
        <v>74</v>
      </c>
      <c r="BB501">
        <v>4069</v>
      </c>
      <c r="BC501">
        <v>4084</v>
      </c>
      <c r="BD501" t="s">
        <v>74</v>
      </c>
      <c r="BE501" t="s">
        <v>7459</v>
      </c>
      <c r="BF501" t="str">
        <f>HYPERLINK("http://dx.doi.org/10.1016/j.atmosenv.2004.03.052","http://dx.doi.org/10.1016/j.atmosenv.2004.03.052")</f>
        <v>http://dx.doi.org/10.1016/j.atmosenv.2004.03.052</v>
      </c>
      <c r="BG501" t="s">
        <v>74</v>
      </c>
      <c r="BH501" t="s">
        <v>74</v>
      </c>
      <c r="BI501">
        <v>16</v>
      </c>
      <c r="BJ501" t="s">
        <v>832</v>
      </c>
      <c r="BK501" t="s">
        <v>139</v>
      </c>
      <c r="BL501" t="s">
        <v>833</v>
      </c>
      <c r="BM501" t="s">
        <v>7460</v>
      </c>
      <c r="BN501" t="s">
        <v>74</v>
      </c>
      <c r="BO501" t="s">
        <v>74</v>
      </c>
      <c r="BP501" t="s">
        <v>74</v>
      </c>
      <c r="BQ501" t="s">
        <v>74</v>
      </c>
      <c r="BR501" t="s">
        <v>98</v>
      </c>
      <c r="BS501" t="s">
        <v>7461</v>
      </c>
      <c r="BT501" t="str">
        <f>HYPERLINK("https%3A%2F%2Fwww.webofscience.com%2Fwos%2Fwoscc%2Ffull-record%2FWOS:000222569800015","View Full Record in Web of Science")</f>
        <v>View Full Record in Web of Science</v>
      </c>
    </row>
    <row r="502" spans="1:72" x14ac:dyDescent="0.15">
      <c r="A502" t="s">
        <v>122</v>
      </c>
      <c r="B502" t="s">
        <v>7462</v>
      </c>
      <c r="C502" t="s">
        <v>74</v>
      </c>
      <c r="D502" t="s">
        <v>74</v>
      </c>
      <c r="E502" t="s">
        <v>74</v>
      </c>
      <c r="F502" t="s">
        <v>7462</v>
      </c>
      <c r="G502" t="s">
        <v>74</v>
      </c>
      <c r="H502" t="s">
        <v>74</v>
      </c>
      <c r="I502" t="s">
        <v>7463</v>
      </c>
      <c r="J502" t="s">
        <v>7464</v>
      </c>
      <c r="K502" t="s">
        <v>74</v>
      </c>
      <c r="L502" t="s">
        <v>74</v>
      </c>
      <c r="M502" t="s">
        <v>79</v>
      </c>
      <c r="N502" t="s">
        <v>126</v>
      </c>
      <c r="O502" t="s">
        <v>74</v>
      </c>
      <c r="P502" t="s">
        <v>74</v>
      </c>
      <c r="Q502" t="s">
        <v>74</v>
      </c>
      <c r="R502" t="s">
        <v>74</v>
      </c>
      <c r="S502" t="s">
        <v>74</v>
      </c>
      <c r="T502" t="s">
        <v>7465</v>
      </c>
      <c r="U502" t="s">
        <v>7466</v>
      </c>
      <c r="V502" t="s">
        <v>7467</v>
      </c>
      <c r="W502" t="s">
        <v>7468</v>
      </c>
      <c r="X502" t="s">
        <v>7469</v>
      </c>
      <c r="Y502" t="s">
        <v>7470</v>
      </c>
      <c r="Z502" t="s">
        <v>7471</v>
      </c>
      <c r="AA502" t="s">
        <v>7472</v>
      </c>
      <c r="AB502" t="s">
        <v>7473</v>
      </c>
      <c r="AC502" t="s">
        <v>74</v>
      </c>
      <c r="AD502" t="s">
        <v>74</v>
      </c>
      <c r="AE502" t="s">
        <v>74</v>
      </c>
      <c r="AF502" t="s">
        <v>74</v>
      </c>
      <c r="AG502">
        <v>27</v>
      </c>
      <c r="AH502">
        <v>21</v>
      </c>
      <c r="AI502">
        <v>22</v>
      </c>
      <c r="AJ502">
        <v>0</v>
      </c>
      <c r="AK502">
        <v>10</v>
      </c>
      <c r="AL502" t="s">
        <v>612</v>
      </c>
      <c r="AM502" t="s">
        <v>613</v>
      </c>
      <c r="AN502" t="s">
        <v>614</v>
      </c>
      <c r="AO502" t="s">
        <v>7474</v>
      </c>
      <c r="AP502" t="s">
        <v>7475</v>
      </c>
      <c r="AQ502" t="s">
        <v>74</v>
      </c>
      <c r="AR502" t="s">
        <v>7476</v>
      </c>
      <c r="AS502" t="s">
        <v>7477</v>
      </c>
      <c r="AT502" t="s">
        <v>7294</v>
      </c>
      <c r="AU502">
        <v>2004</v>
      </c>
      <c r="AV502">
        <v>71</v>
      </c>
      <c r="AW502">
        <v>3</v>
      </c>
      <c r="AX502" t="s">
        <v>74</v>
      </c>
      <c r="AY502" t="s">
        <v>74</v>
      </c>
      <c r="AZ502" t="s">
        <v>74</v>
      </c>
      <c r="BA502" t="s">
        <v>74</v>
      </c>
      <c r="BB502">
        <v>139</v>
      </c>
      <c r="BC502">
        <v>169</v>
      </c>
      <c r="BD502" t="s">
        <v>74</v>
      </c>
      <c r="BE502" t="s">
        <v>7478</v>
      </c>
      <c r="BF502" t="str">
        <f>HYPERLINK("http://dx.doi.org/10.1016/j.atmosres.2004.03.009","http://dx.doi.org/10.1016/j.atmosres.2004.03.009")</f>
        <v>http://dx.doi.org/10.1016/j.atmosres.2004.03.009</v>
      </c>
      <c r="BG502" t="s">
        <v>74</v>
      </c>
      <c r="BH502" t="s">
        <v>74</v>
      </c>
      <c r="BI502">
        <v>31</v>
      </c>
      <c r="BJ502" t="s">
        <v>291</v>
      </c>
      <c r="BK502" t="s">
        <v>139</v>
      </c>
      <c r="BL502" t="s">
        <v>291</v>
      </c>
      <c r="BM502" t="s">
        <v>7479</v>
      </c>
      <c r="BN502" t="s">
        <v>74</v>
      </c>
      <c r="BO502" t="s">
        <v>74</v>
      </c>
      <c r="BP502" t="s">
        <v>74</v>
      </c>
      <c r="BQ502" t="s">
        <v>74</v>
      </c>
      <c r="BR502" t="s">
        <v>98</v>
      </c>
      <c r="BS502" t="s">
        <v>7480</v>
      </c>
      <c r="BT502" t="str">
        <f>HYPERLINK("https%3A%2F%2Fwww.webofscience.com%2Fwos%2Fwoscc%2Ffull-record%2FWOS:000223900700003","View Full Record in Web of Science")</f>
        <v>View Full Record in Web of Science</v>
      </c>
    </row>
    <row r="503" spans="1:72" x14ac:dyDescent="0.15">
      <c r="A503" t="s">
        <v>122</v>
      </c>
      <c r="B503" t="s">
        <v>7481</v>
      </c>
      <c r="C503" t="s">
        <v>74</v>
      </c>
      <c r="D503" t="s">
        <v>74</v>
      </c>
      <c r="E503" t="s">
        <v>74</v>
      </c>
      <c r="F503" t="s">
        <v>7481</v>
      </c>
      <c r="G503" t="s">
        <v>74</v>
      </c>
      <c r="H503" t="s">
        <v>74</v>
      </c>
      <c r="I503" t="s">
        <v>7482</v>
      </c>
      <c r="J503" t="s">
        <v>7483</v>
      </c>
      <c r="K503" t="s">
        <v>74</v>
      </c>
      <c r="L503" t="s">
        <v>74</v>
      </c>
      <c r="M503" t="s">
        <v>79</v>
      </c>
      <c r="N503" t="s">
        <v>581</v>
      </c>
      <c r="O503" t="s">
        <v>74</v>
      </c>
      <c r="P503" t="s">
        <v>74</v>
      </c>
      <c r="Q503" t="s">
        <v>74</v>
      </c>
      <c r="R503" t="s">
        <v>74</v>
      </c>
      <c r="S503" t="s">
        <v>74</v>
      </c>
      <c r="T503" t="s">
        <v>7484</v>
      </c>
      <c r="U503" t="s">
        <v>7485</v>
      </c>
      <c r="V503" t="s">
        <v>7486</v>
      </c>
      <c r="W503" t="s">
        <v>7487</v>
      </c>
      <c r="X503" t="s">
        <v>7488</v>
      </c>
      <c r="Y503" t="s">
        <v>7489</v>
      </c>
      <c r="Z503" t="s">
        <v>7490</v>
      </c>
      <c r="AA503" t="s">
        <v>4621</v>
      </c>
      <c r="AB503" t="s">
        <v>4622</v>
      </c>
      <c r="AC503" t="s">
        <v>74</v>
      </c>
      <c r="AD503" t="s">
        <v>74</v>
      </c>
      <c r="AE503" t="s">
        <v>74</v>
      </c>
      <c r="AF503" t="s">
        <v>74</v>
      </c>
      <c r="AG503">
        <v>219</v>
      </c>
      <c r="AH503">
        <v>125</v>
      </c>
      <c r="AI503">
        <v>138</v>
      </c>
      <c r="AJ503">
        <v>2</v>
      </c>
      <c r="AK503">
        <v>28</v>
      </c>
      <c r="AL503" t="s">
        <v>1644</v>
      </c>
      <c r="AM503" t="s">
        <v>1645</v>
      </c>
      <c r="AN503" t="s">
        <v>1646</v>
      </c>
      <c r="AO503" t="s">
        <v>7491</v>
      </c>
      <c r="AP503" t="s">
        <v>7492</v>
      </c>
      <c r="AQ503" t="s">
        <v>74</v>
      </c>
      <c r="AR503" t="s">
        <v>7493</v>
      </c>
      <c r="AS503" t="s">
        <v>7494</v>
      </c>
      <c r="AT503" t="s">
        <v>7250</v>
      </c>
      <c r="AU503">
        <v>2004</v>
      </c>
      <c r="AV503">
        <v>51</v>
      </c>
      <c r="AW503">
        <v>4</v>
      </c>
      <c r="AX503" t="s">
        <v>74</v>
      </c>
      <c r="AY503" t="s">
        <v>74</v>
      </c>
      <c r="AZ503" t="s">
        <v>74</v>
      </c>
      <c r="BA503" t="s">
        <v>74</v>
      </c>
      <c r="BB503">
        <v>459</v>
      </c>
      <c r="BC503">
        <v>496</v>
      </c>
      <c r="BD503" t="s">
        <v>74</v>
      </c>
      <c r="BE503" t="s">
        <v>7495</v>
      </c>
      <c r="BF503" t="str">
        <f>HYPERLINK("http://dx.doi.org/10.1111/j.1400-0952.2004.01078.x","http://dx.doi.org/10.1111/j.1400-0952.2004.01078.x")</f>
        <v>http://dx.doi.org/10.1111/j.1400-0952.2004.01078.x</v>
      </c>
      <c r="BG503" t="s">
        <v>74</v>
      </c>
      <c r="BH503" t="s">
        <v>74</v>
      </c>
      <c r="BI503">
        <v>38</v>
      </c>
      <c r="BJ503" t="s">
        <v>248</v>
      </c>
      <c r="BK503" t="s">
        <v>139</v>
      </c>
      <c r="BL503" t="s">
        <v>249</v>
      </c>
      <c r="BM503" t="s">
        <v>7496</v>
      </c>
      <c r="BN503" t="s">
        <v>74</v>
      </c>
      <c r="BO503" t="s">
        <v>74</v>
      </c>
      <c r="BP503" t="s">
        <v>74</v>
      </c>
      <c r="BQ503" t="s">
        <v>74</v>
      </c>
      <c r="BR503" t="s">
        <v>98</v>
      </c>
      <c r="BS503" t="s">
        <v>7497</v>
      </c>
      <c r="BT503" t="str">
        <f>HYPERLINK("https%3A%2F%2Fwww.webofscience.com%2Fwos%2Fwoscc%2Ffull-record%2FWOS:000224804700001","View Full Record in Web of Science")</f>
        <v>View Full Record in Web of Science</v>
      </c>
    </row>
    <row r="504" spans="1:72" x14ac:dyDescent="0.15">
      <c r="A504" t="s">
        <v>122</v>
      </c>
      <c r="B504" t="s">
        <v>7498</v>
      </c>
      <c r="C504" t="s">
        <v>74</v>
      </c>
      <c r="D504" t="s">
        <v>74</v>
      </c>
      <c r="E504" t="s">
        <v>74</v>
      </c>
      <c r="F504" t="s">
        <v>7498</v>
      </c>
      <c r="G504" t="s">
        <v>74</v>
      </c>
      <c r="H504" t="s">
        <v>74</v>
      </c>
      <c r="I504" t="s">
        <v>7499</v>
      </c>
      <c r="J504" t="s">
        <v>7483</v>
      </c>
      <c r="K504" t="s">
        <v>74</v>
      </c>
      <c r="L504" t="s">
        <v>74</v>
      </c>
      <c r="M504" t="s">
        <v>79</v>
      </c>
      <c r="N504" t="s">
        <v>126</v>
      </c>
      <c r="O504" t="s">
        <v>74</v>
      </c>
      <c r="P504" t="s">
        <v>74</v>
      </c>
      <c r="Q504" t="s">
        <v>74</v>
      </c>
      <c r="R504" t="s">
        <v>74</v>
      </c>
      <c r="S504" t="s">
        <v>74</v>
      </c>
      <c r="T504" t="s">
        <v>7500</v>
      </c>
      <c r="U504" t="s">
        <v>7501</v>
      </c>
      <c r="V504" t="s">
        <v>7502</v>
      </c>
      <c r="W504" t="s">
        <v>7503</v>
      </c>
      <c r="X504" t="s">
        <v>7504</v>
      </c>
      <c r="Y504" t="s">
        <v>7505</v>
      </c>
      <c r="Z504" t="s">
        <v>7506</v>
      </c>
      <c r="AA504" t="s">
        <v>3638</v>
      </c>
      <c r="AB504" t="s">
        <v>74</v>
      </c>
      <c r="AC504" t="s">
        <v>74</v>
      </c>
      <c r="AD504" t="s">
        <v>74</v>
      </c>
      <c r="AE504" t="s">
        <v>74</v>
      </c>
      <c r="AF504" t="s">
        <v>74</v>
      </c>
      <c r="AG504">
        <v>83</v>
      </c>
      <c r="AH504">
        <v>34</v>
      </c>
      <c r="AI504">
        <v>39</v>
      </c>
      <c r="AJ504">
        <v>0</v>
      </c>
      <c r="AK504">
        <v>6</v>
      </c>
      <c r="AL504" t="s">
        <v>7507</v>
      </c>
      <c r="AM504" t="s">
        <v>7508</v>
      </c>
      <c r="AN504" t="s">
        <v>7509</v>
      </c>
      <c r="AO504" t="s">
        <v>7491</v>
      </c>
      <c r="AP504" t="s">
        <v>74</v>
      </c>
      <c r="AQ504" t="s">
        <v>74</v>
      </c>
      <c r="AR504" t="s">
        <v>7493</v>
      </c>
      <c r="AS504" t="s">
        <v>7494</v>
      </c>
      <c r="AT504" t="s">
        <v>7250</v>
      </c>
      <c r="AU504">
        <v>2004</v>
      </c>
      <c r="AV504">
        <v>51</v>
      </c>
      <c r="AW504">
        <v>4</v>
      </c>
      <c r="AX504" t="s">
        <v>74</v>
      </c>
      <c r="AY504" t="s">
        <v>74</v>
      </c>
      <c r="AZ504" t="s">
        <v>74</v>
      </c>
      <c r="BA504" t="s">
        <v>74</v>
      </c>
      <c r="BB504">
        <v>521</v>
      </c>
      <c r="BC504">
        <v>547</v>
      </c>
      <c r="BD504" t="s">
        <v>74</v>
      </c>
      <c r="BE504" t="s">
        <v>7510</v>
      </c>
      <c r="BF504" t="str">
        <f>HYPERLINK("http://dx.doi.org/10.1111/j.1400-0952.2004.01072.x","http://dx.doi.org/10.1111/j.1400-0952.2004.01072.x")</f>
        <v>http://dx.doi.org/10.1111/j.1400-0952.2004.01072.x</v>
      </c>
      <c r="BG504" t="s">
        <v>74</v>
      </c>
      <c r="BH504" t="s">
        <v>74</v>
      </c>
      <c r="BI504">
        <v>27</v>
      </c>
      <c r="BJ504" t="s">
        <v>248</v>
      </c>
      <c r="BK504" t="s">
        <v>139</v>
      </c>
      <c r="BL504" t="s">
        <v>249</v>
      </c>
      <c r="BM504" t="s">
        <v>7496</v>
      </c>
      <c r="BN504" t="s">
        <v>74</v>
      </c>
      <c r="BO504" t="s">
        <v>329</v>
      </c>
      <c r="BP504" t="s">
        <v>74</v>
      </c>
      <c r="BQ504" t="s">
        <v>74</v>
      </c>
      <c r="BR504" t="s">
        <v>98</v>
      </c>
      <c r="BS504" t="s">
        <v>7511</v>
      </c>
      <c r="BT504" t="str">
        <f>HYPERLINK("https%3A%2F%2Fwww.webofscience.com%2Fwos%2Fwoscc%2Ffull-record%2FWOS:000224804700003","View Full Record in Web of Science")</f>
        <v>View Full Record in Web of Science</v>
      </c>
    </row>
    <row r="505" spans="1:72" x14ac:dyDescent="0.15">
      <c r="A505" t="s">
        <v>122</v>
      </c>
      <c r="B505" t="s">
        <v>7512</v>
      </c>
      <c r="C505" t="s">
        <v>74</v>
      </c>
      <c r="D505" t="s">
        <v>74</v>
      </c>
      <c r="E505" t="s">
        <v>74</v>
      </c>
      <c r="F505" t="s">
        <v>7512</v>
      </c>
      <c r="G505" t="s">
        <v>74</v>
      </c>
      <c r="H505" t="s">
        <v>74</v>
      </c>
      <c r="I505" t="s">
        <v>7513</v>
      </c>
      <c r="J505" t="s">
        <v>2936</v>
      </c>
      <c r="K505" t="s">
        <v>74</v>
      </c>
      <c r="L505" t="s">
        <v>74</v>
      </c>
      <c r="M505" t="s">
        <v>79</v>
      </c>
      <c r="N505" t="s">
        <v>126</v>
      </c>
      <c r="O505" t="s">
        <v>74</v>
      </c>
      <c r="P505" t="s">
        <v>74</v>
      </c>
      <c r="Q505" t="s">
        <v>74</v>
      </c>
      <c r="R505" t="s">
        <v>74</v>
      </c>
      <c r="S505" t="s">
        <v>74</v>
      </c>
      <c r="T505" t="s">
        <v>7514</v>
      </c>
      <c r="U505" t="s">
        <v>7515</v>
      </c>
      <c r="V505" t="s">
        <v>7516</v>
      </c>
      <c r="W505" t="s">
        <v>7517</v>
      </c>
      <c r="X505" t="s">
        <v>7518</v>
      </c>
      <c r="Y505" t="s">
        <v>7519</v>
      </c>
      <c r="Z505" t="s">
        <v>7520</v>
      </c>
      <c r="AA505" t="s">
        <v>74</v>
      </c>
      <c r="AB505" t="s">
        <v>7521</v>
      </c>
      <c r="AC505" t="s">
        <v>74</v>
      </c>
      <c r="AD505" t="s">
        <v>74</v>
      </c>
      <c r="AE505" t="s">
        <v>74</v>
      </c>
      <c r="AF505" t="s">
        <v>74</v>
      </c>
      <c r="AG505">
        <v>38</v>
      </c>
      <c r="AH505">
        <v>11</v>
      </c>
      <c r="AI505">
        <v>13</v>
      </c>
      <c r="AJ505">
        <v>0</v>
      </c>
      <c r="AK505">
        <v>12</v>
      </c>
      <c r="AL505" t="s">
        <v>2944</v>
      </c>
      <c r="AM505" t="s">
        <v>1312</v>
      </c>
      <c r="AN505" t="s">
        <v>2945</v>
      </c>
      <c r="AO505" t="s">
        <v>2946</v>
      </c>
      <c r="AP505" t="s">
        <v>7522</v>
      </c>
      <c r="AQ505" t="s">
        <v>74</v>
      </c>
      <c r="AR505" t="s">
        <v>2947</v>
      </c>
      <c r="AS505" t="s">
        <v>2948</v>
      </c>
      <c r="AT505" t="s">
        <v>7250</v>
      </c>
      <c r="AU505">
        <v>2004</v>
      </c>
      <c r="AV505">
        <v>75</v>
      </c>
      <c r="AW505">
        <v>8</v>
      </c>
      <c r="AX505" t="s">
        <v>74</v>
      </c>
      <c r="AY505" t="s">
        <v>74</v>
      </c>
      <c r="AZ505" t="s">
        <v>74</v>
      </c>
      <c r="BA505" t="s">
        <v>74</v>
      </c>
      <c r="BB505">
        <v>681</v>
      </c>
      <c r="BC505">
        <v>687</v>
      </c>
      <c r="BD505" t="s">
        <v>74</v>
      </c>
      <c r="BE505" t="s">
        <v>74</v>
      </c>
      <c r="BF505" t="s">
        <v>74</v>
      </c>
      <c r="BG505" t="s">
        <v>74</v>
      </c>
      <c r="BH505" t="s">
        <v>74</v>
      </c>
      <c r="BI505">
        <v>7</v>
      </c>
      <c r="BJ505" t="s">
        <v>2949</v>
      </c>
      <c r="BK505" t="s">
        <v>2950</v>
      </c>
      <c r="BL505" t="s">
        <v>2951</v>
      </c>
      <c r="BM505" t="s">
        <v>7523</v>
      </c>
      <c r="BN505">
        <v>15328785</v>
      </c>
      <c r="BO505" t="s">
        <v>74</v>
      </c>
      <c r="BP505" t="s">
        <v>74</v>
      </c>
      <c r="BQ505" t="s">
        <v>74</v>
      </c>
      <c r="BR505" t="s">
        <v>98</v>
      </c>
      <c r="BS505" t="s">
        <v>7524</v>
      </c>
      <c r="BT505" t="str">
        <f>HYPERLINK("https%3A%2F%2Fwww.webofscience.com%2Fwos%2Fwoscc%2Ffull-record%2FWOS:000223004200006","View Full Record in Web of Science")</f>
        <v>View Full Record in Web of Science</v>
      </c>
    </row>
    <row r="506" spans="1:72" x14ac:dyDescent="0.15">
      <c r="A506" t="s">
        <v>122</v>
      </c>
      <c r="B506" t="s">
        <v>7525</v>
      </c>
      <c r="C506" t="s">
        <v>74</v>
      </c>
      <c r="D506" t="s">
        <v>74</v>
      </c>
      <c r="E506" t="s">
        <v>74</v>
      </c>
      <c r="F506" t="s">
        <v>7525</v>
      </c>
      <c r="G506" t="s">
        <v>74</v>
      </c>
      <c r="H506" t="s">
        <v>74</v>
      </c>
      <c r="I506" t="s">
        <v>7526</v>
      </c>
      <c r="J506" t="s">
        <v>7527</v>
      </c>
      <c r="K506" t="s">
        <v>74</v>
      </c>
      <c r="L506" t="s">
        <v>74</v>
      </c>
      <c r="M506" t="s">
        <v>79</v>
      </c>
      <c r="N506" t="s">
        <v>126</v>
      </c>
      <c r="O506" t="s">
        <v>74</v>
      </c>
      <c r="P506" t="s">
        <v>74</v>
      </c>
      <c r="Q506" t="s">
        <v>74</v>
      </c>
      <c r="R506" t="s">
        <v>74</v>
      </c>
      <c r="S506" t="s">
        <v>74</v>
      </c>
      <c r="T506" t="s">
        <v>7528</v>
      </c>
      <c r="U506" t="s">
        <v>7529</v>
      </c>
      <c r="V506" t="s">
        <v>7530</v>
      </c>
      <c r="W506" t="s">
        <v>7531</v>
      </c>
      <c r="X506" t="s">
        <v>7532</v>
      </c>
      <c r="Y506" t="s">
        <v>7533</v>
      </c>
      <c r="Z506" t="s">
        <v>7534</v>
      </c>
      <c r="AA506" t="s">
        <v>7535</v>
      </c>
      <c r="AB506" t="s">
        <v>74</v>
      </c>
      <c r="AC506" t="s">
        <v>74</v>
      </c>
      <c r="AD506" t="s">
        <v>74</v>
      </c>
      <c r="AE506" t="s">
        <v>74</v>
      </c>
      <c r="AF506" t="s">
        <v>74</v>
      </c>
      <c r="AG506">
        <v>32</v>
      </c>
      <c r="AH506">
        <v>13</v>
      </c>
      <c r="AI506">
        <v>15</v>
      </c>
      <c r="AJ506">
        <v>0</v>
      </c>
      <c r="AK506">
        <v>13</v>
      </c>
      <c r="AL506" t="s">
        <v>562</v>
      </c>
      <c r="AM506" t="s">
        <v>532</v>
      </c>
      <c r="AN506" t="s">
        <v>563</v>
      </c>
      <c r="AO506" t="s">
        <v>7536</v>
      </c>
      <c r="AP506" t="s">
        <v>74</v>
      </c>
      <c r="AQ506" t="s">
        <v>74</v>
      </c>
      <c r="AR506" t="s">
        <v>7537</v>
      </c>
      <c r="AS506" t="s">
        <v>7538</v>
      </c>
      <c r="AT506" t="s">
        <v>7274</v>
      </c>
      <c r="AU506">
        <v>2004</v>
      </c>
      <c r="AV506">
        <v>110</v>
      </c>
      <c r="AW506">
        <v>3</v>
      </c>
      <c r="AX506" t="s">
        <v>74</v>
      </c>
      <c r="AY506" t="s">
        <v>74</v>
      </c>
      <c r="AZ506" t="s">
        <v>74</v>
      </c>
      <c r="BA506" t="s">
        <v>74</v>
      </c>
      <c r="BB506">
        <v>223</v>
      </c>
      <c r="BC506">
        <v>230</v>
      </c>
      <c r="BD506" t="s">
        <v>74</v>
      </c>
      <c r="BE506" t="s">
        <v>7539</v>
      </c>
      <c r="BF506" t="str">
        <f>HYPERLINK("http://dx.doi.org/10.1016/j.bpc.2004.02.005","http://dx.doi.org/10.1016/j.bpc.2004.02.005")</f>
        <v>http://dx.doi.org/10.1016/j.bpc.2004.02.005</v>
      </c>
      <c r="BG506" t="s">
        <v>74</v>
      </c>
      <c r="BH506" t="s">
        <v>74</v>
      </c>
      <c r="BI506">
        <v>8</v>
      </c>
      <c r="BJ506" t="s">
        <v>7540</v>
      </c>
      <c r="BK506" t="s">
        <v>139</v>
      </c>
      <c r="BL506" t="s">
        <v>7541</v>
      </c>
      <c r="BM506" t="s">
        <v>7542</v>
      </c>
      <c r="BN506">
        <v>15228958</v>
      </c>
      <c r="BO506" t="s">
        <v>988</v>
      </c>
      <c r="BP506" t="s">
        <v>74</v>
      </c>
      <c r="BQ506" t="s">
        <v>74</v>
      </c>
      <c r="BR506" t="s">
        <v>98</v>
      </c>
      <c r="BS506" t="s">
        <v>7543</v>
      </c>
      <c r="BT506" t="str">
        <f>HYPERLINK("https%3A%2F%2Fwww.webofscience.com%2Fwos%2Fwoscc%2Ffull-record%2FWOS:000222589500003","View Full Record in Web of Science")</f>
        <v>View Full Record in Web of Science</v>
      </c>
    </row>
    <row r="507" spans="1:72" x14ac:dyDescent="0.15">
      <c r="A507" t="s">
        <v>122</v>
      </c>
      <c r="B507" t="s">
        <v>7544</v>
      </c>
      <c r="C507" t="s">
        <v>74</v>
      </c>
      <c r="D507" t="s">
        <v>74</v>
      </c>
      <c r="E507" t="s">
        <v>74</v>
      </c>
      <c r="F507" t="s">
        <v>7544</v>
      </c>
      <c r="G507" t="s">
        <v>74</v>
      </c>
      <c r="H507" t="s">
        <v>74</v>
      </c>
      <c r="I507" t="s">
        <v>7545</v>
      </c>
      <c r="J507" t="s">
        <v>7546</v>
      </c>
      <c r="K507" t="s">
        <v>74</v>
      </c>
      <c r="L507" t="s">
        <v>74</v>
      </c>
      <c r="M507" t="s">
        <v>79</v>
      </c>
      <c r="N507" t="s">
        <v>126</v>
      </c>
      <c r="O507" t="s">
        <v>74</v>
      </c>
      <c r="P507" t="s">
        <v>74</v>
      </c>
      <c r="Q507" t="s">
        <v>74</v>
      </c>
      <c r="R507" t="s">
        <v>74</v>
      </c>
      <c r="S507" t="s">
        <v>74</v>
      </c>
      <c r="T507" t="s">
        <v>74</v>
      </c>
      <c r="U507" t="s">
        <v>7547</v>
      </c>
      <c r="V507" t="s">
        <v>7548</v>
      </c>
      <c r="W507" t="s">
        <v>7549</v>
      </c>
      <c r="X507" t="s">
        <v>7550</v>
      </c>
      <c r="Y507" t="s">
        <v>7551</v>
      </c>
      <c r="Z507" t="s">
        <v>7552</v>
      </c>
      <c r="AA507" t="s">
        <v>74</v>
      </c>
      <c r="AB507" t="s">
        <v>74</v>
      </c>
      <c r="AC507" t="s">
        <v>74</v>
      </c>
      <c r="AD507" t="s">
        <v>74</v>
      </c>
      <c r="AE507" t="s">
        <v>74</v>
      </c>
      <c r="AF507" t="s">
        <v>74</v>
      </c>
      <c r="AG507">
        <v>14</v>
      </c>
      <c r="AH507">
        <v>40</v>
      </c>
      <c r="AI507">
        <v>50</v>
      </c>
      <c r="AJ507">
        <v>2</v>
      </c>
      <c r="AK507">
        <v>38</v>
      </c>
      <c r="AL507" t="s">
        <v>7553</v>
      </c>
      <c r="AM507" t="s">
        <v>5719</v>
      </c>
      <c r="AN507" t="s">
        <v>7554</v>
      </c>
      <c r="AO507" t="s">
        <v>7555</v>
      </c>
      <c r="AP507" t="s">
        <v>74</v>
      </c>
      <c r="AQ507" t="s">
        <v>74</v>
      </c>
      <c r="AR507" t="s">
        <v>7556</v>
      </c>
      <c r="AS507" t="s">
        <v>7557</v>
      </c>
      <c r="AT507" t="s">
        <v>7250</v>
      </c>
      <c r="AU507">
        <v>2004</v>
      </c>
      <c r="AV507">
        <v>82</v>
      </c>
      <c r="AW507">
        <v>8</v>
      </c>
      <c r="AX507" t="s">
        <v>74</v>
      </c>
      <c r="AY507" t="s">
        <v>74</v>
      </c>
      <c r="AZ507" t="s">
        <v>74</v>
      </c>
      <c r="BA507" t="s">
        <v>74</v>
      </c>
      <c r="BB507">
        <v>1307</v>
      </c>
      <c r="BC507">
        <v>1315</v>
      </c>
      <c r="BD507" t="s">
        <v>74</v>
      </c>
      <c r="BE507" t="s">
        <v>7558</v>
      </c>
      <c r="BF507" t="str">
        <f>HYPERLINK("http://dx.doi.org/10.1139/Z04-109","http://dx.doi.org/10.1139/Z04-109")</f>
        <v>http://dx.doi.org/10.1139/Z04-109</v>
      </c>
      <c r="BG507" t="s">
        <v>74</v>
      </c>
      <c r="BH507" t="s">
        <v>74</v>
      </c>
      <c r="BI507">
        <v>9</v>
      </c>
      <c r="BJ507" t="s">
        <v>205</v>
      </c>
      <c r="BK507" t="s">
        <v>139</v>
      </c>
      <c r="BL507" t="s">
        <v>205</v>
      </c>
      <c r="BM507" t="s">
        <v>7559</v>
      </c>
      <c r="BN507" t="s">
        <v>74</v>
      </c>
      <c r="BO507" t="s">
        <v>74</v>
      </c>
      <c r="BP507" t="s">
        <v>74</v>
      </c>
      <c r="BQ507" t="s">
        <v>74</v>
      </c>
      <c r="BR507" t="s">
        <v>98</v>
      </c>
      <c r="BS507" t="s">
        <v>7560</v>
      </c>
      <c r="BT507" t="str">
        <f>HYPERLINK("https%3A%2F%2Fwww.webofscience.com%2Fwos%2Fwoscc%2Ffull-record%2FWOS:000225692100016","View Full Record in Web of Science")</f>
        <v>View Full Record in Web of Science</v>
      </c>
    </row>
    <row r="508" spans="1:72" x14ac:dyDescent="0.15">
      <c r="A508" t="s">
        <v>122</v>
      </c>
      <c r="B508" t="s">
        <v>7561</v>
      </c>
      <c r="C508" t="s">
        <v>74</v>
      </c>
      <c r="D508" t="s">
        <v>74</v>
      </c>
      <c r="E508" t="s">
        <v>74</v>
      </c>
      <c r="F508" t="s">
        <v>7561</v>
      </c>
      <c r="G508" t="s">
        <v>74</v>
      </c>
      <c r="H508" t="s">
        <v>74</v>
      </c>
      <c r="I508" t="s">
        <v>7562</v>
      </c>
      <c r="J508" t="s">
        <v>4465</v>
      </c>
      <c r="K508" t="s">
        <v>74</v>
      </c>
      <c r="L508" t="s">
        <v>74</v>
      </c>
      <c r="M508" t="s">
        <v>79</v>
      </c>
      <c r="N508" t="s">
        <v>126</v>
      </c>
      <c r="O508" t="s">
        <v>74</v>
      </c>
      <c r="P508" t="s">
        <v>74</v>
      </c>
      <c r="Q508" t="s">
        <v>74</v>
      </c>
      <c r="R508" t="s">
        <v>74</v>
      </c>
      <c r="S508" t="s">
        <v>74</v>
      </c>
      <c r="T508" t="s">
        <v>7563</v>
      </c>
      <c r="U508" t="s">
        <v>7564</v>
      </c>
      <c r="V508" t="s">
        <v>7565</v>
      </c>
      <c r="W508" t="s">
        <v>7566</v>
      </c>
      <c r="X508" t="s">
        <v>7567</v>
      </c>
      <c r="Y508" t="s">
        <v>7568</v>
      </c>
      <c r="Z508" t="s">
        <v>7569</v>
      </c>
      <c r="AA508" t="s">
        <v>7570</v>
      </c>
      <c r="AB508" t="s">
        <v>74</v>
      </c>
      <c r="AC508" t="s">
        <v>74</v>
      </c>
      <c r="AD508" t="s">
        <v>74</v>
      </c>
      <c r="AE508" t="s">
        <v>74</v>
      </c>
      <c r="AF508" t="s">
        <v>74</v>
      </c>
      <c r="AG508">
        <v>15</v>
      </c>
      <c r="AH508">
        <v>5</v>
      </c>
      <c r="AI508">
        <v>5</v>
      </c>
      <c r="AJ508">
        <v>0</v>
      </c>
      <c r="AK508">
        <v>12</v>
      </c>
      <c r="AL508" t="s">
        <v>4474</v>
      </c>
      <c r="AM508" t="s">
        <v>4475</v>
      </c>
      <c r="AN508" t="s">
        <v>4476</v>
      </c>
      <c r="AO508" t="s">
        <v>4477</v>
      </c>
      <c r="AP508" t="s">
        <v>74</v>
      </c>
      <c r="AQ508" t="s">
        <v>74</v>
      </c>
      <c r="AR508" t="s">
        <v>4478</v>
      </c>
      <c r="AS508" t="s">
        <v>4479</v>
      </c>
      <c r="AT508" t="s">
        <v>7250</v>
      </c>
      <c r="AU508">
        <v>2004</v>
      </c>
      <c r="AV508">
        <v>49</v>
      </c>
      <c r="AW508">
        <v>15</v>
      </c>
      <c r="AX508" t="s">
        <v>74</v>
      </c>
      <c r="AY508" t="s">
        <v>74</v>
      </c>
      <c r="AZ508" t="s">
        <v>74</v>
      </c>
      <c r="BA508" t="s">
        <v>74</v>
      </c>
      <c r="BB508">
        <v>1620</v>
      </c>
      <c r="BC508">
        <v>1624</v>
      </c>
      <c r="BD508" t="s">
        <v>74</v>
      </c>
      <c r="BE508" t="s">
        <v>7571</v>
      </c>
      <c r="BF508" t="str">
        <f>HYPERLINK("http://dx.doi.org/10.1360/03wd0418","http://dx.doi.org/10.1360/03wd0418")</f>
        <v>http://dx.doi.org/10.1360/03wd0418</v>
      </c>
      <c r="BG508" t="s">
        <v>74</v>
      </c>
      <c r="BH508" t="s">
        <v>74</v>
      </c>
      <c r="BI508">
        <v>5</v>
      </c>
      <c r="BJ508" t="s">
        <v>381</v>
      </c>
      <c r="BK508" t="s">
        <v>139</v>
      </c>
      <c r="BL508" t="s">
        <v>382</v>
      </c>
      <c r="BM508" t="s">
        <v>7572</v>
      </c>
      <c r="BN508" t="s">
        <v>74</v>
      </c>
      <c r="BO508" t="s">
        <v>74</v>
      </c>
      <c r="BP508" t="s">
        <v>74</v>
      </c>
      <c r="BQ508" t="s">
        <v>74</v>
      </c>
      <c r="BR508" t="s">
        <v>98</v>
      </c>
      <c r="BS508" t="s">
        <v>7573</v>
      </c>
      <c r="BT508" t="str">
        <f>HYPERLINK("https%3A%2F%2Fwww.webofscience.com%2Fwos%2Fwoscc%2Ffull-record%2FWOS:000224314400012","View Full Record in Web of Science")</f>
        <v>View Full Record in Web of Science</v>
      </c>
    </row>
    <row r="509" spans="1:72" x14ac:dyDescent="0.15">
      <c r="A509" t="s">
        <v>122</v>
      </c>
      <c r="B509" t="s">
        <v>7574</v>
      </c>
      <c r="C509" t="s">
        <v>74</v>
      </c>
      <c r="D509" t="s">
        <v>74</v>
      </c>
      <c r="E509" t="s">
        <v>74</v>
      </c>
      <c r="F509" t="s">
        <v>7574</v>
      </c>
      <c r="G509" t="s">
        <v>74</v>
      </c>
      <c r="H509" t="s">
        <v>74</v>
      </c>
      <c r="I509" t="s">
        <v>7575</v>
      </c>
      <c r="J509" t="s">
        <v>1263</v>
      </c>
      <c r="K509" t="s">
        <v>74</v>
      </c>
      <c r="L509" t="s">
        <v>74</v>
      </c>
      <c r="M509" t="s">
        <v>79</v>
      </c>
      <c r="N509" t="s">
        <v>126</v>
      </c>
      <c r="O509" t="s">
        <v>74</v>
      </c>
      <c r="P509" t="s">
        <v>74</v>
      </c>
      <c r="Q509" t="s">
        <v>74</v>
      </c>
      <c r="R509" t="s">
        <v>74</v>
      </c>
      <c r="S509" t="s">
        <v>74</v>
      </c>
      <c r="T509" t="s">
        <v>7576</v>
      </c>
      <c r="U509" t="s">
        <v>7577</v>
      </c>
      <c r="V509" t="s">
        <v>7578</v>
      </c>
      <c r="W509" t="s">
        <v>7579</v>
      </c>
      <c r="X509" t="s">
        <v>7580</v>
      </c>
      <c r="Y509" t="s">
        <v>7581</v>
      </c>
      <c r="Z509" t="s">
        <v>7582</v>
      </c>
      <c r="AA509" t="s">
        <v>7583</v>
      </c>
      <c r="AB509" t="s">
        <v>7584</v>
      </c>
      <c r="AC509" t="s">
        <v>74</v>
      </c>
      <c r="AD509" t="s">
        <v>74</v>
      </c>
      <c r="AE509" t="s">
        <v>74</v>
      </c>
      <c r="AF509" t="s">
        <v>74</v>
      </c>
      <c r="AG509">
        <v>41</v>
      </c>
      <c r="AH509">
        <v>15</v>
      </c>
      <c r="AI509">
        <v>16</v>
      </c>
      <c r="AJ509">
        <v>1</v>
      </c>
      <c r="AK509">
        <v>11</v>
      </c>
      <c r="AL509" t="s">
        <v>1273</v>
      </c>
      <c r="AM509" t="s">
        <v>197</v>
      </c>
      <c r="AN509" t="s">
        <v>1274</v>
      </c>
      <c r="AO509" t="s">
        <v>1275</v>
      </c>
      <c r="AP509" t="s">
        <v>74</v>
      </c>
      <c r="AQ509" t="s">
        <v>74</v>
      </c>
      <c r="AR509" t="s">
        <v>1277</v>
      </c>
      <c r="AS509" t="s">
        <v>1278</v>
      </c>
      <c r="AT509" t="s">
        <v>7250</v>
      </c>
      <c r="AU509">
        <v>2004</v>
      </c>
      <c r="AV509">
        <v>51</v>
      </c>
      <c r="AW509">
        <v>8</v>
      </c>
      <c r="AX509" t="s">
        <v>74</v>
      </c>
      <c r="AY509" t="s">
        <v>74</v>
      </c>
      <c r="AZ509" t="s">
        <v>74</v>
      </c>
      <c r="BA509" t="s">
        <v>74</v>
      </c>
      <c r="BB509">
        <v>1057</v>
      </c>
      <c r="BC509">
        <v>1073</v>
      </c>
      <c r="BD509" t="s">
        <v>74</v>
      </c>
      <c r="BE509" t="s">
        <v>7585</v>
      </c>
      <c r="BF509" t="str">
        <f>HYPERLINK("http://dx.doi.org/10.1016/j.dsr.2004.03.005","http://dx.doi.org/10.1016/j.dsr.2004.03.005")</f>
        <v>http://dx.doi.org/10.1016/j.dsr.2004.03.005</v>
      </c>
      <c r="BG509" t="s">
        <v>74</v>
      </c>
      <c r="BH509" t="s">
        <v>74</v>
      </c>
      <c r="BI509">
        <v>17</v>
      </c>
      <c r="BJ509" t="s">
        <v>660</v>
      </c>
      <c r="BK509" t="s">
        <v>139</v>
      </c>
      <c r="BL509" t="s">
        <v>660</v>
      </c>
      <c r="BM509" t="s">
        <v>7586</v>
      </c>
      <c r="BN509" t="s">
        <v>74</v>
      </c>
      <c r="BO509" t="s">
        <v>74</v>
      </c>
      <c r="BP509" t="s">
        <v>74</v>
      </c>
      <c r="BQ509" t="s">
        <v>74</v>
      </c>
      <c r="BR509" t="s">
        <v>98</v>
      </c>
      <c r="BS509" t="s">
        <v>7587</v>
      </c>
      <c r="BT509" t="str">
        <f>HYPERLINK("https%3A%2F%2Fwww.webofscience.com%2Fwos%2Fwoscc%2Ffull-record%2FWOS:000223074800004","View Full Record in Web of Science")</f>
        <v>View Full Record in Web of Science</v>
      </c>
    </row>
    <row r="510" spans="1:72" x14ac:dyDescent="0.15">
      <c r="A510" t="s">
        <v>122</v>
      </c>
      <c r="B510" t="s">
        <v>7588</v>
      </c>
      <c r="C510" t="s">
        <v>74</v>
      </c>
      <c r="D510" t="s">
        <v>74</v>
      </c>
      <c r="E510" t="s">
        <v>74</v>
      </c>
      <c r="F510" t="s">
        <v>7588</v>
      </c>
      <c r="G510" t="s">
        <v>74</v>
      </c>
      <c r="H510" t="s">
        <v>74</v>
      </c>
      <c r="I510" t="s">
        <v>7589</v>
      </c>
      <c r="J510" t="s">
        <v>7590</v>
      </c>
      <c r="K510" t="s">
        <v>74</v>
      </c>
      <c r="L510" t="s">
        <v>74</v>
      </c>
      <c r="M510" t="s">
        <v>79</v>
      </c>
      <c r="N510" t="s">
        <v>581</v>
      </c>
      <c r="O510" t="s">
        <v>74</v>
      </c>
      <c r="P510" t="s">
        <v>74</v>
      </c>
      <c r="Q510" t="s">
        <v>74</v>
      </c>
      <c r="R510" t="s">
        <v>74</v>
      </c>
      <c r="S510" t="s">
        <v>74</v>
      </c>
      <c r="T510" t="s">
        <v>7591</v>
      </c>
      <c r="U510" t="s">
        <v>7592</v>
      </c>
      <c r="V510" t="s">
        <v>7593</v>
      </c>
      <c r="W510" t="s">
        <v>7594</v>
      </c>
      <c r="X510" t="s">
        <v>7595</v>
      </c>
      <c r="Y510" t="s">
        <v>7596</v>
      </c>
      <c r="Z510" t="s">
        <v>7597</v>
      </c>
      <c r="AA510" t="s">
        <v>74</v>
      </c>
      <c r="AB510" t="s">
        <v>7598</v>
      </c>
      <c r="AC510" t="s">
        <v>74</v>
      </c>
      <c r="AD510" t="s">
        <v>74</v>
      </c>
      <c r="AE510" t="s">
        <v>74</v>
      </c>
      <c r="AF510" t="s">
        <v>74</v>
      </c>
      <c r="AG510">
        <v>38</v>
      </c>
      <c r="AH510">
        <v>10</v>
      </c>
      <c r="AI510">
        <v>10</v>
      </c>
      <c r="AJ510">
        <v>0</v>
      </c>
      <c r="AK510">
        <v>18</v>
      </c>
      <c r="AL510" t="s">
        <v>1273</v>
      </c>
      <c r="AM510" t="s">
        <v>197</v>
      </c>
      <c r="AN510" t="s">
        <v>1274</v>
      </c>
      <c r="AO510" t="s">
        <v>7599</v>
      </c>
      <c r="AP510" t="s">
        <v>7600</v>
      </c>
      <c r="AQ510" t="s">
        <v>74</v>
      </c>
      <c r="AR510" t="s">
        <v>7601</v>
      </c>
      <c r="AS510" t="s">
        <v>7602</v>
      </c>
      <c r="AT510" t="s">
        <v>7250</v>
      </c>
      <c r="AU510">
        <v>2004</v>
      </c>
      <c r="AV510">
        <v>30</v>
      </c>
      <c r="AW510">
        <v>6</v>
      </c>
      <c r="AX510" t="s">
        <v>74</v>
      </c>
      <c r="AY510" t="s">
        <v>74</v>
      </c>
      <c r="AZ510" t="s">
        <v>74</v>
      </c>
      <c r="BA510" t="s">
        <v>74</v>
      </c>
      <c r="BB510">
        <v>815</v>
      </c>
      <c r="BC510">
        <v>825</v>
      </c>
      <c r="BD510" t="s">
        <v>74</v>
      </c>
      <c r="BE510" t="s">
        <v>7603</v>
      </c>
      <c r="BF510" t="str">
        <f>HYPERLINK("http://dx.doi.org/10.1016/j.envint.2003.09.002","http://dx.doi.org/10.1016/j.envint.2003.09.002")</f>
        <v>http://dx.doi.org/10.1016/j.envint.2003.09.002</v>
      </c>
      <c r="BG510" t="s">
        <v>74</v>
      </c>
      <c r="BH510" t="s">
        <v>74</v>
      </c>
      <c r="BI510">
        <v>11</v>
      </c>
      <c r="BJ510" t="s">
        <v>2988</v>
      </c>
      <c r="BK510" t="s">
        <v>139</v>
      </c>
      <c r="BL510" t="s">
        <v>1305</v>
      </c>
      <c r="BM510" t="s">
        <v>7604</v>
      </c>
      <c r="BN510">
        <v>15120201</v>
      </c>
      <c r="BO510" t="s">
        <v>74</v>
      </c>
      <c r="BP510" t="s">
        <v>74</v>
      </c>
      <c r="BQ510" t="s">
        <v>74</v>
      </c>
      <c r="BR510" t="s">
        <v>98</v>
      </c>
      <c r="BS510" t="s">
        <v>7605</v>
      </c>
      <c r="BT510" t="str">
        <f>HYPERLINK("https%3A%2F%2Fwww.webofscience.com%2Fwos%2Fwoscc%2Ffull-record%2FWOS:000221587500008","View Full Record in Web of Science")</f>
        <v>View Full Record in Web of Science</v>
      </c>
    </row>
    <row r="511" spans="1:72" x14ac:dyDescent="0.15">
      <c r="A511" t="s">
        <v>122</v>
      </c>
      <c r="B511" t="s">
        <v>7606</v>
      </c>
      <c r="C511" t="s">
        <v>74</v>
      </c>
      <c r="D511" t="s">
        <v>74</v>
      </c>
      <c r="E511" t="s">
        <v>74</v>
      </c>
      <c r="F511" t="s">
        <v>7606</v>
      </c>
      <c r="G511" t="s">
        <v>74</v>
      </c>
      <c r="H511" t="s">
        <v>74</v>
      </c>
      <c r="I511" t="s">
        <v>7607</v>
      </c>
      <c r="J511" t="s">
        <v>7608</v>
      </c>
      <c r="K511" t="s">
        <v>74</v>
      </c>
      <c r="L511" t="s">
        <v>74</v>
      </c>
      <c r="M511" t="s">
        <v>79</v>
      </c>
      <c r="N511" t="s">
        <v>126</v>
      </c>
      <c r="O511" t="s">
        <v>74</v>
      </c>
      <c r="P511" t="s">
        <v>74</v>
      </c>
      <c r="Q511" t="s">
        <v>74</v>
      </c>
      <c r="R511" t="s">
        <v>74</v>
      </c>
      <c r="S511" t="s">
        <v>74</v>
      </c>
      <c r="T511" t="s">
        <v>7609</v>
      </c>
      <c r="U511" t="s">
        <v>7610</v>
      </c>
      <c r="V511" t="s">
        <v>7611</v>
      </c>
      <c r="W511" t="s">
        <v>7612</v>
      </c>
      <c r="X511" t="s">
        <v>7613</v>
      </c>
      <c r="Y511" t="s">
        <v>7614</v>
      </c>
      <c r="Z511" t="s">
        <v>7615</v>
      </c>
      <c r="AA511" t="s">
        <v>3028</v>
      </c>
      <c r="AB511" t="s">
        <v>7616</v>
      </c>
      <c r="AC511" t="s">
        <v>74</v>
      </c>
      <c r="AD511" t="s">
        <v>74</v>
      </c>
      <c r="AE511" t="s">
        <v>74</v>
      </c>
      <c r="AF511" t="s">
        <v>74</v>
      </c>
      <c r="AG511">
        <v>42</v>
      </c>
      <c r="AH511">
        <v>33</v>
      </c>
      <c r="AI511">
        <v>44</v>
      </c>
      <c r="AJ511">
        <v>1</v>
      </c>
      <c r="AK511">
        <v>17</v>
      </c>
      <c r="AL511" t="s">
        <v>1418</v>
      </c>
      <c r="AM511" t="s">
        <v>1419</v>
      </c>
      <c r="AN511" t="s">
        <v>1420</v>
      </c>
      <c r="AO511" t="s">
        <v>7617</v>
      </c>
      <c r="AP511" t="s">
        <v>7618</v>
      </c>
      <c r="AQ511" t="s">
        <v>74</v>
      </c>
      <c r="AR511" t="s">
        <v>7619</v>
      </c>
      <c r="AS511" t="s">
        <v>7620</v>
      </c>
      <c r="AT511" t="s">
        <v>7250</v>
      </c>
      <c r="AU511">
        <v>2004</v>
      </c>
      <c r="AV511">
        <v>23</v>
      </c>
      <c r="AW511">
        <v>8</v>
      </c>
      <c r="AX511" t="s">
        <v>74</v>
      </c>
      <c r="AY511" t="s">
        <v>74</v>
      </c>
      <c r="AZ511" t="s">
        <v>74</v>
      </c>
      <c r="BA511" t="s">
        <v>74</v>
      </c>
      <c r="BB511">
        <v>1893</v>
      </c>
      <c r="BC511">
        <v>1901</v>
      </c>
      <c r="BD511" t="s">
        <v>74</v>
      </c>
      <c r="BE511" t="s">
        <v>7621</v>
      </c>
      <c r="BF511" t="str">
        <f>HYPERLINK("http://dx.doi.org/10.1897/03-484","http://dx.doi.org/10.1897/03-484")</f>
        <v>http://dx.doi.org/10.1897/03-484</v>
      </c>
      <c r="BG511" t="s">
        <v>74</v>
      </c>
      <c r="BH511" t="s">
        <v>74</v>
      </c>
      <c r="BI511">
        <v>9</v>
      </c>
      <c r="BJ511" t="s">
        <v>7622</v>
      </c>
      <c r="BK511" t="s">
        <v>139</v>
      </c>
      <c r="BL511" t="s">
        <v>7623</v>
      </c>
      <c r="BM511" t="s">
        <v>7624</v>
      </c>
      <c r="BN511">
        <v>15352478</v>
      </c>
      <c r="BO511" t="s">
        <v>74</v>
      </c>
      <c r="BP511" t="s">
        <v>74</v>
      </c>
      <c r="BQ511" t="s">
        <v>74</v>
      </c>
      <c r="BR511" t="s">
        <v>98</v>
      </c>
      <c r="BS511" t="s">
        <v>7625</v>
      </c>
      <c r="BT511" t="str">
        <f>HYPERLINK("https%3A%2F%2Fwww.webofscience.com%2Fwos%2Fwoscc%2Ffull-record%2FWOS:000222740400012","View Full Record in Web of Science")</f>
        <v>View Full Record in Web of Science</v>
      </c>
    </row>
    <row r="512" spans="1:72" x14ac:dyDescent="0.15">
      <c r="A512" t="s">
        <v>122</v>
      </c>
      <c r="B512" t="s">
        <v>7626</v>
      </c>
      <c r="C512" t="s">
        <v>74</v>
      </c>
      <c r="D512" t="s">
        <v>74</v>
      </c>
      <c r="E512" t="s">
        <v>74</v>
      </c>
      <c r="F512" t="s">
        <v>7626</v>
      </c>
      <c r="G512" t="s">
        <v>74</v>
      </c>
      <c r="H512" t="s">
        <v>74</v>
      </c>
      <c r="I512" t="s">
        <v>7627</v>
      </c>
      <c r="J512" t="s">
        <v>3211</v>
      </c>
      <c r="K512" t="s">
        <v>74</v>
      </c>
      <c r="L512" t="s">
        <v>74</v>
      </c>
      <c r="M512" t="s">
        <v>79</v>
      </c>
      <c r="N512" t="s">
        <v>126</v>
      </c>
      <c r="O512" t="s">
        <v>74</v>
      </c>
      <c r="P512" t="s">
        <v>74</v>
      </c>
      <c r="Q512" t="s">
        <v>74</v>
      </c>
      <c r="R512" t="s">
        <v>74</v>
      </c>
      <c r="S512" t="s">
        <v>74</v>
      </c>
      <c r="T512" t="s">
        <v>7628</v>
      </c>
      <c r="U512" t="s">
        <v>7629</v>
      </c>
      <c r="V512" t="s">
        <v>7630</v>
      </c>
      <c r="W512" t="s">
        <v>7631</v>
      </c>
      <c r="X512" t="s">
        <v>7632</v>
      </c>
      <c r="Y512" t="s">
        <v>7633</v>
      </c>
      <c r="Z512" t="s">
        <v>7634</v>
      </c>
      <c r="AA512" t="s">
        <v>74</v>
      </c>
      <c r="AB512" t="s">
        <v>74</v>
      </c>
      <c r="AC512" t="s">
        <v>74</v>
      </c>
      <c r="AD512" t="s">
        <v>74</v>
      </c>
      <c r="AE512" t="s">
        <v>74</v>
      </c>
      <c r="AF512" t="s">
        <v>74</v>
      </c>
      <c r="AG512">
        <v>29</v>
      </c>
      <c r="AH512">
        <v>330</v>
      </c>
      <c r="AI512">
        <v>346</v>
      </c>
      <c r="AJ512">
        <v>1</v>
      </c>
      <c r="AK512">
        <v>12</v>
      </c>
      <c r="AL512" t="s">
        <v>3199</v>
      </c>
      <c r="AM512" t="s">
        <v>2601</v>
      </c>
      <c r="AN512" t="s">
        <v>3200</v>
      </c>
      <c r="AO512" t="s">
        <v>3221</v>
      </c>
      <c r="AP512" t="s">
        <v>3222</v>
      </c>
      <c r="AQ512" t="s">
        <v>74</v>
      </c>
      <c r="AR512" t="s">
        <v>3211</v>
      </c>
      <c r="AS512" t="s">
        <v>249</v>
      </c>
      <c r="AT512" t="s">
        <v>7250</v>
      </c>
      <c r="AU512">
        <v>2004</v>
      </c>
      <c r="AV512">
        <v>32</v>
      </c>
      <c r="AW512">
        <v>8</v>
      </c>
      <c r="AX512" t="s">
        <v>74</v>
      </c>
      <c r="AY512" t="s">
        <v>74</v>
      </c>
      <c r="AZ512" t="s">
        <v>74</v>
      </c>
      <c r="BA512" t="s">
        <v>74</v>
      </c>
      <c r="BB512">
        <v>721</v>
      </c>
      <c r="BC512">
        <v>724</v>
      </c>
      <c r="BD512" t="s">
        <v>74</v>
      </c>
      <c r="BE512" t="s">
        <v>7635</v>
      </c>
      <c r="BF512" t="str">
        <f>HYPERLINK("http://dx.doi.org/10.1130/G20516.1","http://dx.doi.org/10.1130/G20516.1")</f>
        <v>http://dx.doi.org/10.1130/G20516.1</v>
      </c>
      <c r="BG512" t="s">
        <v>74</v>
      </c>
      <c r="BH512" t="s">
        <v>74</v>
      </c>
      <c r="BI512">
        <v>4</v>
      </c>
      <c r="BJ512" t="s">
        <v>249</v>
      </c>
      <c r="BK512" t="s">
        <v>139</v>
      </c>
      <c r="BL512" t="s">
        <v>249</v>
      </c>
      <c r="BM512" t="s">
        <v>7636</v>
      </c>
      <c r="BN512" t="s">
        <v>74</v>
      </c>
      <c r="BO512" t="s">
        <v>74</v>
      </c>
      <c r="BP512" t="s">
        <v>74</v>
      </c>
      <c r="BQ512" t="s">
        <v>74</v>
      </c>
      <c r="BR512" t="s">
        <v>98</v>
      </c>
      <c r="BS512" t="s">
        <v>7637</v>
      </c>
      <c r="BT512" t="str">
        <f>HYPERLINK("https%3A%2F%2Fwww.webofscience.com%2Fwos%2Fwoscc%2Ffull-record%2FWOS:000223052600021","View Full Record in Web of Science")</f>
        <v>View Full Record in Web of Science</v>
      </c>
    </row>
    <row r="513" spans="1:72" x14ac:dyDescent="0.15">
      <c r="A513" t="s">
        <v>122</v>
      </c>
      <c r="B513" t="s">
        <v>7638</v>
      </c>
      <c r="C513" t="s">
        <v>74</v>
      </c>
      <c r="D513" t="s">
        <v>74</v>
      </c>
      <c r="E513" t="s">
        <v>74</v>
      </c>
      <c r="F513" t="s">
        <v>7638</v>
      </c>
      <c r="G513" t="s">
        <v>74</v>
      </c>
      <c r="H513" t="s">
        <v>74</v>
      </c>
      <c r="I513" t="s">
        <v>7639</v>
      </c>
      <c r="J513" t="s">
        <v>7640</v>
      </c>
      <c r="K513" t="s">
        <v>74</v>
      </c>
      <c r="L513" t="s">
        <v>74</v>
      </c>
      <c r="M513" t="s">
        <v>79</v>
      </c>
      <c r="N513" t="s">
        <v>581</v>
      </c>
      <c r="O513" t="s">
        <v>74</v>
      </c>
      <c r="P513" t="s">
        <v>74</v>
      </c>
      <c r="Q513" t="s">
        <v>74</v>
      </c>
      <c r="R513" t="s">
        <v>74</v>
      </c>
      <c r="S513" t="s">
        <v>74</v>
      </c>
      <c r="T513" t="s">
        <v>7641</v>
      </c>
      <c r="U513" t="s">
        <v>7642</v>
      </c>
      <c r="V513" t="s">
        <v>7643</v>
      </c>
      <c r="W513" t="s">
        <v>7644</v>
      </c>
      <c r="X513" t="s">
        <v>7645</v>
      </c>
      <c r="Y513" t="s">
        <v>7646</v>
      </c>
      <c r="Z513" t="s">
        <v>7647</v>
      </c>
      <c r="AA513" t="s">
        <v>7648</v>
      </c>
      <c r="AB513" t="s">
        <v>7649</v>
      </c>
      <c r="AC513" t="s">
        <v>7650</v>
      </c>
      <c r="AD513" t="s">
        <v>635</v>
      </c>
      <c r="AE513" t="s">
        <v>74</v>
      </c>
      <c r="AF513" t="s">
        <v>74</v>
      </c>
      <c r="AG513">
        <v>147</v>
      </c>
      <c r="AH513">
        <v>148</v>
      </c>
      <c r="AI513">
        <v>169</v>
      </c>
      <c r="AJ513">
        <v>2</v>
      </c>
      <c r="AK513">
        <v>31</v>
      </c>
      <c r="AL513" t="s">
        <v>531</v>
      </c>
      <c r="AM513" t="s">
        <v>532</v>
      </c>
      <c r="AN513" t="s">
        <v>533</v>
      </c>
      <c r="AO513" t="s">
        <v>7651</v>
      </c>
      <c r="AP513" t="s">
        <v>7652</v>
      </c>
      <c r="AQ513" t="s">
        <v>74</v>
      </c>
      <c r="AR513" t="s">
        <v>7653</v>
      </c>
      <c r="AS513" t="s">
        <v>7654</v>
      </c>
      <c r="AT513" t="s">
        <v>7250</v>
      </c>
      <c r="AU513">
        <v>2004</v>
      </c>
      <c r="AV513">
        <v>43</v>
      </c>
      <c r="AW513" t="s">
        <v>2537</v>
      </c>
      <c r="AX513" t="s">
        <v>74</v>
      </c>
      <c r="AY513" t="s">
        <v>74</v>
      </c>
      <c r="AZ513" t="s">
        <v>74</v>
      </c>
      <c r="BA513" t="s">
        <v>74</v>
      </c>
      <c r="BB513">
        <v>79</v>
      </c>
      <c r="BC513">
        <v>101</v>
      </c>
      <c r="BD513" t="s">
        <v>74</v>
      </c>
      <c r="BE513" t="s">
        <v>7655</v>
      </c>
      <c r="BF513" t="str">
        <f>HYPERLINK("http://dx.doi.org/10.1016/j.gloplacha.2004.03.002","http://dx.doi.org/10.1016/j.gloplacha.2004.03.002")</f>
        <v>http://dx.doi.org/10.1016/j.gloplacha.2004.03.002</v>
      </c>
      <c r="BG513" t="s">
        <v>74</v>
      </c>
      <c r="BH513" t="s">
        <v>74</v>
      </c>
      <c r="BI513">
        <v>23</v>
      </c>
      <c r="BJ513" t="s">
        <v>3767</v>
      </c>
      <c r="BK513" t="s">
        <v>139</v>
      </c>
      <c r="BL513" t="s">
        <v>3768</v>
      </c>
      <c r="BM513" t="s">
        <v>7656</v>
      </c>
      <c r="BN513" t="s">
        <v>74</v>
      </c>
      <c r="BO513" t="s">
        <v>74</v>
      </c>
      <c r="BP513" t="s">
        <v>74</v>
      </c>
      <c r="BQ513" t="s">
        <v>74</v>
      </c>
      <c r="BR513" t="s">
        <v>98</v>
      </c>
      <c r="BS513" t="s">
        <v>7657</v>
      </c>
      <c r="BT513" t="str">
        <f>HYPERLINK("https%3A%2F%2Fwww.webofscience.com%2Fwos%2Fwoscc%2Ffull-record%2FWOS:000223729100005","View Full Record in Web of Science")</f>
        <v>View Full Record in Web of Science</v>
      </c>
    </row>
    <row r="514" spans="1:72" x14ac:dyDescent="0.15">
      <c r="A514" t="s">
        <v>122</v>
      </c>
      <c r="B514" t="s">
        <v>7658</v>
      </c>
      <c r="C514" t="s">
        <v>74</v>
      </c>
      <c r="D514" t="s">
        <v>74</v>
      </c>
      <c r="E514" t="s">
        <v>74</v>
      </c>
      <c r="F514" t="s">
        <v>7658</v>
      </c>
      <c r="G514" t="s">
        <v>74</v>
      </c>
      <c r="H514" t="s">
        <v>74</v>
      </c>
      <c r="I514" t="s">
        <v>7659</v>
      </c>
      <c r="J514" t="s">
        <v>7660</v>
      </c>
      <c r="K514" t="s">
        <v>74</v>
      </c>
      <c r="L514" t="s">
        <v>74</v>
      </c>
      <c r="M514" t="s">
        <v>79</v>
      </c>
      <c r="N514" t="s">
        <v>7661</v>
      </c>
      <c r="O514" t="s">
        <v>74</v>
      </c>
      <c r="P514" t="s">
        <v>74</v>
      </c>
      <c r="Q514" t="s">
        <v>74</v>
      </c>
      <c r="R514" t="s">
        <v>74</v>
      </c>
      <c r="S514" t="s">
        <v>74</v>
      </c>
      <c r="T514" t="s">
        <v>74</v>
      </c>
      <c r="U514" t="s">
        <v>74</v>
      </c>
      <c r="V514" t="s">
        <v>74</v>
      </c>
      <c r="W514" t="s">
        <v>74</v>
      </c>
      <c r="X514" t="s">
        <v>74</v>
      </c>
      <c r="Y514" t="s">
        <v>74</v>
      </c>
      <c r="Z514" t="s">
        <v>74</v>
      </c>
      <c r="AA514" t="s">
        <v>74</v>
      </c>
      <c r="AB514" t="s">
        <v>74</v>
      </c>
      <c r="AC514" t="s">
        <v>74</v>
      </c>
      <c r="AD514" t="s">
        <v>74</v>
      </c>
      <c r="AE514" t="s">
        <v>74</v>
      </c>
      <c r="AF514" t="s">
        <v>74</v>
      </c>
      <c r="AG514">
        <v>0</v>
      </c>
      <c r="AH514">
        <v>0</v>
      </c>
      <c r="AI514">
        <v>0</v>
      </c>
      <c r="AJ514">
        <v>0</v>
      </c>
      <c r="AK514">
        <v>0</v>
      </c>
      <c r="AL514" t="s">
        <v>7662</v>
      </c>
      <c r="AM514" t="s">
        <v>7663</v>
      </c>
      <c r="AN514" t="s">
        <v>7664</v>
      </c>
      <c r="AO514" t="s">
        <v>7665</v>
      </c>
      <c r="AP514" t="s">
        <v>74</v>
      </c>
      <c r="AQ514" t="s">
        <v>74</v>
      </c>
      <c r="AR514" t="s">
        <v>7666</v>
      </c>
      <c r="AS514" t="s">
        <v>7667</v>
      </c>
      <c r="AT514" t="s">
        <v>7250</v>
      </c>
      <c r="AU514">
        <v>2004</v>
      </c>
      <c r="AV514">
        <v>45</v>
      </c>
      <c r="AW514">
        <v>175</v>
      </c>
      <c r="AX514" t="s">
        <v>74</v>
      </c>
      <c r="AY514" t="s">
        <v>74</v>
      </c>
      <c r="AZ514" t="s">
        <v>74</v>
      </c>
      <c r="BA514" t="s">
        <v>74</v>
      </c>
      <c r="BB514">
        <v>17</v>
      </c>
      <c r="BC514">
        <v>18</v>
      </c>
      <c r="BD514" t="s">
        <v>74</v>
      </c>
      <c r="BE514" t="s">
        <v>74</v>
      </c>
      <c r="BF514" t="s">
        <v>74</v>
      </c>
      <c r="BG514" t="s">
        <v>74</v>
      </c>
      <c r="BH514" t="s">
        <v>74</v>
      </c>
      <c r="BI514">
        <v>2</v>
      </c>
      <c r="BJ514" t="s">
        <v>7668</v>
      </c>
      <c r="BK514" t="s">
        <v>3527</v>
      </c>
      <c r="BL514" t="s">
        <v>7669</v>
      </c>
      <c r="BM514" t="s">
        <v>7670</v>
      </c>
      <c r="BN514" t="s">
        <v>74</v>
      </c>
      <c r="BO514" t="s">
        <v>74</v>
      </c>
      <c r="BP514" t="s">
        <v>74</v>
      </c>
      <c r="BQ514" t="s">
        <v>74</v>
      </c>
      <c r="BR514" t="s">
        <v>98</v>
      </c>
      <c r="BS514" t="s">
        <v>7671</v>
      </c>
      <c r="BT514" t="str">
        <f>HYPERLINK("https%3A%2F%2Fwww.webofscience.com%2Fwos%2Fwoscc%2Ffull-record%2FWOS:000224682000006","View Full Record in Web of Science")</f>
        <v>View Full Record in Web of Science</v>
      </c>
    </row>
    <row r="515" spans="1:72" x14ac:dyDescent="0.15">
      <c r="A515" t="s">
        <v>122</v>
      </c>
      <c r="B515" t="s">
        <v>7672</v>
      </c>
      <c r="C515" t="s">
        <v>74</v>
      </c>
      <c r="D515" t="s">
        <v>74</v>
      </c>
      <c r="E515" t="s">
        <v>74</v>
      </c>
      <c r="F515" t="s">
        <v>7672</v>
      </c>
      <c r="G515" t="s">
        <v>74</v>
      </c>
      <c r="H515" t="s">
        <v>74</v>
      </c>
      <c r="I515" t="s">
        <v>7673</v>
      </c>
      <c r="J515" t="s">
        <v>6136</v>
      </c>
      <c r="K515" t="s">
        <v>74</v>
      </c>
      <c r="L515" t="s">
        <v>74</v>
      </c>
      <c r="M515" t="s">
        <v>79</v>
      </c>
      <c r="N515" t="s">
        <v>126</v>
      </c>
      <c r="O515" t="s">
        <v>74</v>
      </c>
      <c r="P515" t="s">
        <v>74</v>
      </c>
      <c r="Q515" t="s">
        <v>74</v>
      </c>
      <c r="R515" t="s">
        <v>74</v>
      </c>
      <c r="S515" t="s">
        <v>74</v>
      </c>
      <c r="T515" t="s">
        <v>7674</v>
      </c>
      <c r="U515" t="s">
        <v>7675</v>
      </c>
      <c r="V515" t="s">
        <v>7676</v>
      </c>
      <c r="W515" t="s">
        <v>7677</v>
      </c>
      <c r="X515" t="s">
        <v>7678</v>
      </c>
      <c r="Y515" t="s">
        <v>7679</v>
      </c>
      <c r="Z515" t="s">
        <v>4795</v>
      </c>
      <c r="AA515" t="s">
        <v>4796</v>
      </c>
      <c r="AB515" t="s">
        <v>74</v>
      </c>
      <c r="AC515" t="s">
        <v>74</v>
      </c>
      <c r="AD515" t="s">
        <v>74</v>
      </c>
      <c r="AE515" t="s">
        <v>74</v>
      </c>
      <c r="AF515" t="s">
        <v>74</v>
      </c>
      <c r="AG515">
        <v>43</v>
      </c>
      <c r="AH515">
        <v>15</v>
      </c>
      <c r="AI515">
        <v>17</v>
      </c>
      <c r="AJ515">
        <v>0</v>
      </c>
      <c r="AK515">
        <v>5</v>
      </c>
      <c r="AL515" t="s">
        <v>196</v>
      </c>
      <c r="AM515" t="s">
        <v>197</v>
      </c>
      <c r="AN515" t="s">
        <v>198</v>
      </c>
      <c r="AO515" t="s">
        <v>6144</v>
      </c>
      <c r="AP515" t="s">
        <v>6145</v>
      </c>
      <c r="AQ515" t="s">
        <v>74</v>
      </c>
      <c r="AR515" t="s">
        <v>6146</v>
      </c>
      <c r="AS515" t="s">
        <v>6147</v>
      </c>
      <c r="AT515" t="s">
        <v>7250</v>
      </c>
      <c r="AU515">
        <v>2004</v>
      </c>
      <c r="AV515">
        <v>61</v>
      </c>
      <c r="AW515">
        <v>5</v>
      </c>
      <c r="AX515" t="s">
        <v>74</v>
      </c>
      <c r="AY515" t="s">
        <v>74</v>
      </c>
      <c r="AZ515" t="s">
        <v>74</v>
      </c>
      <c r="BA515" t="s">
        <v>74</v>
      </c>
      <c r="BB515">
        <v>829</v>
      </c>
      <c r="BC515">
        <v>835</v>
      </c>
      <c r="BD515" t="s">
        <v>74</v>
      </c>
      <c r="BE515" t="s">
        <v>7680</v>
      </c>
      <c r="BF515" t="str">
        <f>HYPERLINK("http://dx.doi.org/10.1016/j.icesjms.2003.12.010","http://dx.doi.org/10.1016/j.icesjms.2003.12.010")</f>
        <v>http://dx.doi.org/10.1016/j.icesjms.2003.12.010</v>
      </c>
      <c r="BG515" t="s">
        <v>74</v>
      </c>
      <c r="BH515" t="s">
        <v>74</v>
      </c>
      <c r="BI515">
        <v>7</v>
      </c>
      <c r="BJ515" t="s">
        <v>6149</v>
      </c>
      <c r="BK515" t="s">
        <v>139</v>
      </c>
      <c r="BL515" t="s">
        <v>6149</v>
      </c>
      <c r="BM515" t="s">
        <v>7681</v>
      </c>
      <c r="BN515" t="s">
        <v>74</v>
      </c>
      <c r="BO515" t="s">
        <v>273</v>
      </c>
      <c r="BP515" t="s">
        <v>74</v>
      </c>
      <c r="BQ515" t="s">
        <v>74</v>
      </c>
      <c r="BR515" t="s">
        <v>98</v>
      </c>
      <c r="BS515" t="s">
        <v>7682</v>
      </c>
      <c r="BT515" t="str">
        <f>HYPERLINK("https%3A%2F%2Fwww.webofscience.com%2Fwos%2Fwoscc%2Ffull-record%2FWOS:000223417800010","View Full Record in Web of Science")</f>
        <v>View Full Record in Web of Science</v>
      </c>
    </row>
    <row r="516" spans="1:72" x14ac:dyDescent="0.15">
      <c r="A516" t="s">
        <v>122</v>
      </c>
      <c r="B516" t="s">
        <v>7683</v>
      </c>
      <c r="C516" t="s">
        <v>74</v>
      </c>
      <c r="D516" t="s">
        <v>74</v>
      </c>
      <c r="E516" t="s">
        <v>74</v>
      </c>
      <c r="F516" t="s">
        <v>7683</v>
      </c>
      <c r="G516" t="s">
        <v>74</v>
      </c>
      <c r="H516" t="s">
        <v>74</v>
      </c>
      <c r="I516" t="s">
        <v>7684</v>
      </c>
      <c r="J516" t="s">
        <v>7685</v>
      </c>
      <c r="K516" t="s">
        <v>74</v>
      </c>
      <c r="L516" t="s">
        <v>74</v>
      </c>
      <c r="M516" t="s">
        <v>79</v>
      </c>
      <c r="N516" t="s">
        <v>126</v>
      </c>
      <c r="O516" t="s">
        <v>74</v>
      </c>
      <c r="P516" t="s">
        <v>74</v>
      </c>
      <c r="Q516" t="s">
        <v>74</v>
      </c>
      <c r="R516" t="s">
        <v>74</v>
      </c>
      <c r="S516" t="s">
        <v>74</v>
      </c>
      <c r="T516" t="s">
        <v>7686</v>
      </c>
      <c r="U516" t="s">
        <v>7687</v>
      </c>
      <c r="V516" t="s">
        <v>7688</v>
      </c>
      <c r="W516" t="s">
        <v>7689</v>
      </c>
      <c r="X516" t="s">
        <v>7690</v>
      </c>
      <c r="Y516" t="s">
        <v>7691</v>
      </c>
      <c r="Z516" t="s">
        <v>7692</v>
      </c>
      <c r="AA516" t="s">
        <v>74</v>
      </c>
      <c r="AB516" t="s">
        <v>7693</v>
      </c>
      <c r="AC516" t="s">
        <v>74</v>
      </c>
      <c r="AD516" t="s">
        <v>74</v>
      </c>
      <c r="AE516" t="s">
        <v>74</v>
      </c>
      <c r="AF516" t="s">
        <v>74</v>
      </c>
      <c r="AG516">
        <v>54</v>
      </c>
      <c r="AH516">
        <v>19</v>
      </c>
      <c r="AI516">
        <v>21</v>
      </c>
      <c r="AJ516">
        <v>0</v>
      </c>
      <c r="AK516">
        <v>4</v>
      </c>
      <c r="AL516" t="s">
        <v>7694</v>
      </c>
      <c r="AM516" t="s">
        <v>7695</v>
      </c>
      <c r="AN516" t="s">
        <v>7696</v>
      </c>
      <c r="AO516" t="s">
        <v>7697</v>
      </c>
      <c r="AP516" t="s">
        <v>74</v>
      </c>
      <c r="AQ516" t="s">
        <v>74</v>
      </c>
      <c r="AR516" t="s">
        <v>7698</v>
      </c>
      <c r="AS516" t="s">
        <v>7699</v>
      </c>
      <c r="AT516" t="s">
        <v>7250</v>
      </c>
      <c r="AU516">
        <v>2004</v>
      </c>
      <c r="AV516">
        <v>114</v>
      </c>
      <c r="AW516">
        <v>2</v>
      </c>
      <c r="AX516" t="s">
        <v>74</v>
      </c>
      <c r="AY516" t="s">
        <v>74</v>
      </c>
      <c r="AZ516" t="s">
        <v>74</v>
      </c>
      <c r="BA516" t="s">
        <v>74</v>
      </c>
      <c r="BB516">
        <v>398</v>
      </c>
      <c r="BC516">
        <v>405</v>
      </c>
      <c r="BD516" t="s">
        <v>74</v>
      </c>
      <c r="BE516" t="s">
        <v>7700</v>
      </c>
      <c r="BF516" t="str">
        <f>HYPERLINK("http://dx.doi.org/10.1016/j.jaci.2004.05.036","http://dx.doi.org/10.1016/j.jaci.2004.05.036")</f>
        <v>http://dx.doi.org/10.1016/j.jaci.2004.05.036</v>
      </c>
      <c r="BG516" t="s">
        <v>74</v>
      </c>
      <c r="BH516" t="s">
        <v>74</v>
      </c>
      <c r="BI516">
        <v>8</v>
      </c>
      <c r="BJ516" t="s">
        <v>7701</v>
      </c>
      <c r="BK516" t="s">
        <v>139</v>
      </c>
      <c r="BL516" t="s">
        <v>7701</v>
      </c>
      <c r="BM516" t="s">
        <v>7702</v>
      </c>
      <c r="BN516">
        <v>15316523</v>
      </c>
      <c r="BO516" t="s">
        <v>74</v>
      </c>
      <c r="BP516" t="s">
        <v>74</v>
      </c>
      <c r="BQ516" t="s">
        <v>74</v>
      </c>
      <c r="BR516" t="s">
        <v>98</v>
      </c>
      <c r="BS516" t="s">
        <v>7703</v>
      </c>
      <c r="BT516" t="str">
        <f>HYPERLINK("https%3A%2F%2Fwww.webofscience.com%2Fwos%2Fwoscc%2Ffull-record%2FWOS:000223405600030","View Full Record in Web of Science")</f>
        <v>View Full Record in Web of Science</v>
      </c>
    </row>
    <row r="517" spans="1:72" x14ac:dyDescent="0.15">
      <c r="A517" t="s">
        <v>122</v>
      </c>
      <c r="B517" t="s">
        <v>7704</v>
      </c>
      <c r="C517" t="s">
        <v>74</v>
      </c>
      <c r="D517" t="s">
        <v>74</v>
      </c>
      <c r="E517" t="s">
        <v>74</v>
      </c>
      <c r="F517" t="s">
        <v>7704</v>
      </c>
      <c r="G517" t="s">
        <v>74</v>
      </c>
      <c r="H517" t="s">
        <v>74</v>
      </c>
      <c r="I517" t="s">
        <v>7705</v>
      </c>
      <c r="J517" t="s">
        <v>7706</v>
      </c>
      <c r="K517" t="s">
        <v>74</v>
      </c>
      <c r="L517" t="s">
        <v>74</v>
      </c>
      <c r="M517" t="s">
        <v>79</v>
      </c>
      <c r="N517" t="s">
        <v>126</v>
      </c>
      <c r="O517" t="s">
        <v>74</v>
      </c>
      <c r="P517" t="s">
        <v>74</v>
      </c>
      <c r="Q517" t="s">
        <v>74</v>
      </c>
      <c r="R517" t="s">
        <v>74</v>
      </c>
      <c r="S517" t="s">
        <v>74</v>
      </c>
      <c r="T517" t="s">
        <v>74</v>
      </c>
      <c r="U517" t="s">
        <v>7707</v>
      </c>
      <c r="V517" t="s">
        <v>7708</v>
      </c>
      <c r="W517" t="s">
        <v>7709</v>
      </c>
      <c r="X517" t="s">
        <v>7710</v>
      </c>
      <c r="Y517" t="s">
        <v>7711</v>
      </c>
      <c r="Z517" t="s">
        <v>74</v>
      </c>
      <c r="AA517" t="s">
        <v>74</v>
      </c>
      <c r="AB517" t="s">
        <v>7712</v>
      </c>
      <c r="AC517" t="s">
        <v>74</v>
      </c>
      <c r="AD517" t="s">
        <v>74</v>
      </c>
      <c r="AE517" t="s">
        <v>74</v>
      </c>
      <c r="AF517" t="s">
        <v>74</v>
      </c>
      <c r="AG517">
        <v>44</v>
      </c>
      <c r="AH517">
        <v>7</v>
      </c>
      <c r="AI517">
        <v>8</v>
      </c>
      <c r="AJ517">
        <v>0</v>
      </c>
      <c r="AK517">
        <v>6</v>
      </c>
      <c r="AL517" t="s">
        <v>7713</v>
      </c>
      <c r="AM517" t="s">
        <v>7714</v>
      </c>
      <c r="AN517" t="s">
        <v>7715</v>
      </c>
      <c r="AO517" t="s">
        <v>7716</v>
      </c>
      <c r="AP517" t="s">
        <v>74</v>
      </c>
      <c r="AQ517" t="s">
        <v>74</v>
      </c>
      <c r="AR517" t="s">
        <v>7717</v>
      </c>
      <c r="AS517" t="s">
        <v>7718</v>
      </c>
      <c r="AT517" t="s">
        <v>7250</v>
      </c>
      <c r="AU517">
        <v>2004</v>
      </c>
      <c r="AV517">
        <v>34</v>
      </c>
      <c r="AW517">
        <v>8</v>
      </c>
      <c r="AX517" t="s">
        <v>74</v>
      </c>
      <c r="AY517" t="s">
        <v>74</v>
      </c>
      <c r="AZ517" t="s">
        <v>74</v>
      </c>
      <c r="BA517" t="s">
        <v>74</v>
      </c>
      <c r="BB517">
        <v>1563</v>
      </c>
      <c r="BC517">
        <v>1586</v>
      </c>
      <c r="BD517" t="s">
        <v>74</v>
      </c>
      <c r="BE517" t="s">
        <v>7719</v>
      </c>
      <c r="BF517" t="str">
        <f>HYPERLINK("http://dx.doi.org/10.1111/j.1559-1816.2004.tb02787.x","http://dx.doi.org/10.1111/j.1559-1816.2004.tb02787.x")</f>
        <v>http://dx.doi.org/10.1111/j.1559-1816.2004.tb02787.x</v>
      </c>
      <c r="BG517" t="s">
        <v>74</v>
      </c>
      <c r="BH517" t="s">
        <v>74</v>
      </c>
      <c r="BI517">
        <v>24</v>
      </c>
      <c r="BJ517" t="s">
        <v>7720</v>
      </c>
      <c r="BK517" t="s">
        <v>3432</v>
      </c>
      <c r="BL517" t="s">
        <v>7721</v>
      </c>
      <c r="BM517" t="s">
        <v>7722</v>
      </c>
      <c r="BN517" t="s">
        <v>74</v>
      </c>
      <c r="BO517" t="s">
        <v>74</v>
      </c>
      <c r="BP517" t="s">
        <v>74</v>
      </c>
      <c r="BQ517" t="s">
        <v>74</v>
      </c>
      <c r="BR517" t="s">
        <v>98</v>
      </c>
      <c r="BS517" t="s">
        <v>7723</v>
      </c>
      <c r="BT517" t="str">
        <f>HYPERLINK("https%3A%2F%2Fwww.webofscience.com%2Fwos%2Fwoscc%2Ffull-record%2FWOS:000225280300002","View Full Record in Web of Science")</f>
        <v>View Full Record in Web of Science</v>
      </c>
    </row>
    <row r="518" spans="1:72" x14ac:dyDescent="0.15">
      <c r="A518" t="s">
        <v>122</v>
      </c>
      <c r="B518" t="s">
        <v>7724</v>
      </c>
      <c r="C518" t="s">
        <v>74</v>
      </c>
      <c r="D518" t="s">
        <v>74</v>
      </c>
      <c r="E518" t="s">
        <v>74</v>
      </c>
      <c r="F518" t="s">
        <v>7724</v>
      </c>
      <c r="G518" t="s">
        <v>74</v>
      </c>
      <c r="H518" t="s">
        <v>74</v>
      </c>
      <c r="I518" t="s">
        <v>7725</v>
      </c>
      <c r="J518" t="s">
        <v>6225</v>
      </c>
      <c r="K518" t="s">
        <v>74</v>
      </c>
      <c r="L518" t="s">
        <v>74</v>
      </c>
      <c r="M518" t="s">
        <v>79</v>
      </c>
      <c r="N518" t="s">
        <v>126</v>
      </c>
      <c r="O518" t="s">
        <v>74</v>
      </c>
      <c r="P518" t="s">
        <v>74</v>
      </c>
      <c r="Q518" t="s">
        <v>74</v>
      </c>
      <c r="R518" t="s">
        <v>74</v>
      </c>
      <c r="S518" t="s">
        <v>74</v>
      </c>
      <c r="T518" t="s">
        <v>7726</v>
      </c>
      <c r="U518" t="s">
        <v>7727</v>
      </c>
      <c r="V518" t="s">
        <v>7728</v>
      </c>
      <c r="W518" t="s">
        <v>7729</v>
      </c>
      <c r="X518" t="s">
        <v>7730</v>
      </c>
      <c r="Y518" t="s">
        <v>7731</v>
      </c>
      <c r="Z518" t="s">
        <v>7732</v>
      </c>
      <c r="AA518" t="s">
        <v>7733</v>
      </c>
      <c r="AB518" t="s">
        <v>74</v>
      </c>
      <c r="AC518" t="s">
        <v>74</v>
      </c>
      <c r="AD518" t="s">
        <v>74</v>
      </c>
      <c r="AE518" t="s">
        <v>74</v>
      </c>
      <c r="AF518" t="s">
        <v>74</v>
      </c>
      <c r="AG518">
        <v>39</v>
      </c>
      <c r="AH518">
        <v>6</v>
      </c>
      <c r="AI518">
        <v>6</v>
      </c>
      <c r="AJ518">
        <v>0</v>
      </c>
      <c r="AK518">
        <v>1</v>
      </c>
      <c r="AL518" t="s">
        <v>1273</v>
      </c>
      <c r="AM518" t="s">
        <v>197</v>
      </c>
      <c r="AN518" t="s">
        <v>1274</v>
      </c>
      <c r="AO518" t="s">
        <v>6231</v>
      </c>
      <c r="AP518" t="s">
        <v>6232</v>
      </c>
      <c r="AQ518" t="s">
        <v>74</v>
      </c>
      <c r="AR518" t="s">
        <v>6233</v>
      </c>
      <c r="AS518" t="s">
        <v>6234</v>
      </c>
      <c r="AT518" t="s">
        <v>7250</v>
      </c>
      <c r="AU518">
        <v>2004</v>
      </c>
      <c r="AV518">
        <v>66</v>
      </c>
      <c r="AW518">
        <v>12</v>
      </c>
      <c r="AX518" t="s">
        <v>74</v>
      </c>
      <c r="AY518" t="s">
        <v>74</v>
      </c>
      <c r="AZ518" t="s">
        <v>74</v>
      </c>
      <c r="BA518" t="s">
        <v>74</v>
      </c>
      <c r="BB518">
        <v>1027</v>
      </c>
      <c r="BC518">
        <v>1033</v>
      </c>
      <c r="BD518" t="s">
        <v>74</v>
      </c>
      <c r="BE518" t="s">
        <v>7734</v>
      </c>
      <c r="BF518" t="str">
        <f>HYPERLINK("http://dx.doi.org/10.1016/j.jastp.2004.03.013","http://dx.doi.org/10.1016/j.jastp.2004.03.013")</f>
        <v>http://dx.doi.org/10.1016/j.jastp.2004.03.013</v>
      </c>
      <c r="BG518" t="s">
        <v>74</v>
      </c>
      <c r="BH518" t="s">
        <v>74</v>
      </c>
      <c r="BI518">
        <v>7</v>
      </c>
      <c r="BJ518" t="s">
        <v>6237</v>
      </c>
      <c r="BK518" t="s">
        <v>139</v>
      </c>
      <c r="BL518" t="s">
        <v>6237</v>
      </c>
      <c r="BM518" t="s">
        <v>7735</v>
      </c>
      <c r="BN518" t="s">
        <v>74</v>
      </c>
      <c r="BO518" t="s">
        <v>74</v>
      </c>
      <c r="BP518" t="s">
        <v>74</v>
      </c>
      <c r="BQ518" t="s">
        <v>74</v>
      </c>
      <c r="BR518" t="s">
        <v>98</v>
      </c>
      <c r="BS518" t="s">
        <v>7736</v>
      </c>
      <c r="BT518" t="str">
        <f>HYPERLINK("https%3A%2F%2Fwww.webofscience.com%2Fwos%2Fwoscc%2Ffull-record%2FWOS:000223009300003","View Full Record in Web of Science")</f>
        <v>View Full Record in Web of Science</v>
      </c>
    </row>
    <row r="519" spans="1:72" x14ac:dyDescent="0.15">
      <c r="A519" t="s">
        <v>122</v>
      </c>
      <c r="B519" t="s">
        <v>7737</v>
      </c>
      <c r="C519" t="s">
        <v>74</v>
      </c>
      <c r="D519" t="s">
        <v>74</v>
      </c>
      <c r="E519" t="s">
        <v>74</v>
      </c>
      <c r="F519" t="s">
        <v>7737</v>
      </c>
      <c r="G519" t="s">
        <v>74</v>
      </c>
      <c r="H519" t="s">
        <v>74</v>
      </c>
      <c r="I519" t="s">
        <v>7738</v>
      </c>
      <c r="J519" t="s">
        <v>6225</v>
      </c>
      <c r="K519" t="s">
        <v>74</v>
      </c>
      <c r="L519" t="s">
        <v>74</v>
      </c>
      <c r="M519" t="s">
        <v>79</v>
      </c>
      <c r="N519" t="s">
        <v>126</v>
      </c>
      <c r="O519" t="s">
        <v>74</v>
      </c>
      <c r="P519" t="s">
        <v>74</v>
      </c>
      <c r="Q519" t="s">
        <v>74</v>
      </c>
      <c r="R519" t="s">
        <v>74</v>
      </c>
      <c r="S519" t="s">
        <v>74</v>
      </c>
      <c r="T519" t="s">
        <v>7739</v>
      </c>
      <c r="U519" t="s">
        <v>7740</v>
      </c>
      <c r="V519" t="s">
        <v>7741</v>
      </c>
      <c r="W519" t="s">
        <v>7742</v>
      </c>
      <c r="X519" t="s">
        <v>7743</v>
      </c>
      <c r="Y519" t="s">
        <v>7744</v>
      </c>
      <c r="Z519" t="s">
        <v>6247</v>
      </c>
      <c r="AA519" t="s">
        <v>74</v>
      </c>
      <c r="AB519" t="s">
        <v>7745</v>
      </c>
      <c r="AC519" t="s">
        <v>74</v>
      </c>
      <c r="AD519" t="s">
        <v>74</v>
      </c>
      <c r="AE519" t="s">
        <v>74</v>
      </c>
      <c r="AF519" t="s">
        <v>74</v>
      </c>
      <c r="AG519">
        <v>26</v>
      </c>
      <c r="AH519">
        <v>4</v>
      </c>
      <c r="AI519">
        <v>4</v>
      </c>
      <c r="AJ519">
        <v>0</v>
      </c>
      <c r="AK519">
        <v>2</v>
      </c>
      <c r="AL519" t="s">
        <v>1273</v>
      </c>
      <c r="AM519" t="s">
        <v>197</v>
      </c>
      <c r="AN519" t="s">
        <v>1274</v>
      </c>
      <c r="AO519" t="s">
        <v>6231</v>
      </c>
      <c r="AP519" t="s">
        <v>6232</v>
      </c>
      <c r="AQ519" t="s">
        <v>74</v>
      </c>
      <c r="AR519" t="s">
        <v>6233</v>
      </c>
      <c r="AS519" t="s">
        <v>6234</v>
      </c>
      <c r="AT519" t="s">
        <v>7250</v>
      </c>
      <c r="AU519">
        <v>2004</v>
      </c>
      <c r="AV519">
        <v>66</v>
      </c>
      <c r="AW519">
        <v>12</v>
      </c>
      <c r="AX519" t="s">
        <v>74</v>
      </c>
      <c r="AY519" t="s">
        <v>74</v>
      </c>
      <c r="AZ519" t="s">
        <v>74</v>
      </c>
      <c r="BA519" t="s">
        <v>74</v>
      </c>
      <c r="BB519">
        <v>1035</v>
      </c>
      <c r="BC519">
        <v>1045</v>
      </c>
      <c r="BD519" t="s">
        <v>74</v>
      </c>
      <c r="BE519" t="s">
        <v>7746</v>
      </c>
      <c r="BF519" t="str">
        <f>HYPERLINK("http://dx.doi.org/10.1016/j.jastp.2004.03.014","http://dx.doi.org/10.1016/j.jastp.2004.03.014")</f>
        <v>http://dx.doi.org/10.1016/j.jastp.2004.03.014</v>
      </c>
      <c r="BG519" t="s">
        <v>74</v>
      </c>
      <c r="BH519" t="s">
        <v>74</v>
      </c>
      <c r="BI519">
        <v>11</v>
      </c>
      <c r="BJ519" t="s">
        <v>6237</v>
      </c>
      <c r="BK519" t="s">
        <v>139</v>
      </c>
      <c r="BL519" t="s">
        <v>6237</v>
      </c>
      <c r="BM519" t="s">
        <v>7735</v>
      </c>
      <c r="BN519" t="s">
        <v>74</v>
      </c>
      <c r="BO519" t="s">
        <v>74</v>
      </c>
      <c r="BP519" t="s">
        <v>74</v>
      </c>
      <c r="BQ519" t="s">
        <v>74</v>
      </c>
      <c r="BR519" t="s">
        <v>98</v>
      </c>
      <c r="BS519" t="s">
        <v>7747</v>
      </c>
      <c r="BT519" t="str">
        <f>HYPERLINK("https%3A%2F%2Fwww.webofscience.com%2Fwos%2Fwoscc%2Ffull-record%2FWOS:000223009300004","View Full Record in Web of Science")</f>
        <v>View Full Record in Web of Science</v>
      </c>
    </row>
    <row r="520" spans="1:72" x14ac:dyDescent="0.15">
      <c r="A520" t="s">
        <v>122</v>
      </c>
      <c r="B520" t="s">
        <v>7748</v>
      </c>
      <c r="C520" t="s">
        <v>74</v>
      </c>
      <c r="D520" t="s">
        <v>74</v>
      </c>
      <c r="E520" t="s">
        <v>74</v>
      </c>
      <c r="F520" t="s">
        <v>7748</v>
      </c>
      <c r="G520" t="s">
        <v>74</v>
      </c>
      <c r="H520" t="s">
        <v>74</v>
      </c>
      <c r="I520" t="s">
        <v>7749</v>
      </c>
      <c r="J520" t="s">
        <v>1562</v>
      </c>
      <c r="K520" t="s">
        <v>74</v>
      </c>
      <c r="L520" t="s">
        <v>74</v>
      </c>
      <c r="M520" t="s">
        <v>79</v>
      </c>
      <c r="N520" t="s">
        <v>126</v>
      </c>
      <c r="O520" t="s">
        <v>74</v>
      </c>
      <c r="P520" t="s">
        <v>74</v>
      </c>
      <c r="Q520" t="s">
        <v>74</v>
      </c>
      <c r="R520" t="s">
        <v>74</v>
      </c>
      <c r="S520" t="s">
        <v>74</v>
      </c>
      <c r="T520" t="s">
        <v>74</v>
      </c>
      <c r="U520" t="s">
        <v>7750</v>
      </c>
      <c r="V520" t="s">
        <v>7751</v>
      </c>
      <c r="W520" t="s">
        <v>462</v>
      </c>
      <c r="X520" t="s">
        <v>463</v>
      </c>
      <c r="Y520" t="s">
        <v>7752</v>
      </c>
      <c r="Z520" t="s">
        <v>7753</v>
      </c>
      <c r="AA520" t="s">
        <v>7754</v>
      </c>
      <c r="AB520" t="s">
        <v>74</v>
      </c>
      <c r="AC520" t="s">
        <v>74</v>
      </c>
      <c r="AD520" t="s">
        <v>74</v>
      </c>
      <c r="AE520" t="s">
        <v>74</v>
      </c>
      <c r="AF520" t="s">
        <v>74</v>
      </c>
      <c r="AG520">
        <v>33</v>
      </c>
      <c r="AH520">
        <v>41</v>
      </c>
      <c r="AI520">
        <v>45</v>
      </c>
      <c r="AJ520">
        <v>3</v>
      </c>
      <c r="AK520">
        <v>16</v>
      </c>
      <c r="AL520" t="s">
        <v>1571</v>
      </c>
      <c r="AM520" t="s">
        <v>1572</v>
      </c>
      <c r="AN520" t="s">
        <v>1573</v>
      </c>
      <c r="AO520" t="s">
        <v>1574</v>
      </c>
      <c r="AP520" t="s">
        <v>74</v>
      </c>
      <c r="AQ520" t="s">
        <v>74</v>
      </c>
      <c r="AR520" t="s">
        <v>1576</v>
      </c>
      <c r="AS520" t="s">
        <v>1577</v>
      </c>
      <c r="AT520" t="s">
        <v>7250</v>
      </c>
      <c r="AU520">
        <v>2004</v>
      </c>
      <c r="AV520">
        <v>17</v>
      </c>
      <c r="AW520">
        <v>16</v>
      </c>
      <c r="AX520" t="s">
        <v>74</v>
      </c>
      <c r="AY520" t="s">
        <v>74</v>
      </c>
      <c r="AZ520" t="s">
        <v>74</v>
      </c>
      <c r="BA520" t="s">
        <v>74</v>
      </c>
      <c r="BB520">
        <v>3156</v>
      </c>
      <c r="BC520">
        <v>3168</v>
      </c>
      <c r="BD520" t="s">
        <v>74</v>
      </c>
      <c r="BE520" t="s">
        <v>7755</v>
      </c>
      <c r="BF520" t="str">
        <f>HYPERLINK("http://dx.doi.org/10.1175/1520-0442(2004)017&lt;3156:AMMFSF&gt;2.0.CO;2","http://dx.doi.org/10.1175/1520-0442(2004)017&lt;3156:AMMFSF&gt;2.0.CO;2")</f>
        <v>http://dx.doi.org/10.1175/1520-0442(2004)017&lt;3156:AMMFSF&gt;2.0.CO;2</v>
      </c>
      <c r="BG520" t="s">
        <v>74</v>
      </c>
      <c r="BH520" t="s">
        <v>74</v>
      </c>
      <c r="BI520">
        <v>13</v>
      </c>
      <c r="BJ520" t="s">
        <v>291</v>
      </c>
      <c r="BK520" t="s">
        <v>139</v>
      </c>
      <c r="BL520" t="s">
        <v>291</v>
      </c>
      <c r="BM520" t="s">
        <v>7756</v>
      </c>
      <c r="BN520" t="s">
        <v>74</v>
      </c>
      <c r="BO520" t="s">
        <v>273</v>
      </c>
      <c r="BP520" t="s">
        <v>74</v>
      </c>
      <c r="BQ520" t="s">
        <v>74</v>
      </c>
      <c r="BR520" t="s">
        <v>98</v>
      </c>
      <c r="BS520" t="s">
        <v>7757</v>
      </c>
      <c r="BT520" t="str">
        <f>HYPERLINK("https%3A%2F%2Fwww.webofscience.com%2Fwos%2Fwoscc%2Ffull-record%2FWOS:000223374000007","View Full Record in Web of Science")</f>
        <v>View Full Record in Web of Science</v>
      </c>
    </row>
    <row r="521" spans="1:72" x14ac:dyDescent="0.15">
      <c r="A521" t="s">
        <v>122</v>
      </c>
      <c r="B521" t="s">
        <v>7758</v>
      </c>
      <c r="C521" t="s">
        <v>74</v>
      </c>
      <c r="D521" t="s">
        <v>74</v>
      </c>
      <c r="E521" t="s">
        <v>74</v>
      </c>
      <c r="F521" t="s">
        <v>7758</v>
      </c>
      <c r="G521" t="s">
        <v>74</v>
      </c>
      <c r="H521" t="s">
        <v>74</v>
      </c>
      <c r="I521" t="s">
        <v>7759</v>
      </c>
      <c r="J521" t="s">
        <v>1562</v>
      </c>
      <c r="K521" t="s">
        <v>74</v>
      </c>
      <c r="L521" t="s">
        <v>74</v>
      </c>
      <c r="M521" t="s">
        <v>79</v>
      </c>
      <c r="N521" t="s">
        <v>126</v>
      </c>
      <c r="O521" t="s">
        <v>74</v>
      </c>
      <c r="P521" t="s">
        <v>74</v>
      </c>
      <c r="Q521" t="s">
        <v>74</v>
      </c>
      <c r="R521" t="s">
        <v>74</v>
      </c>
      <c r="S521" t="s">
        <v>74</v>
      </c>
      <c r="T521" t="s">
        <v>74</v>
      </c>
      <c r="U521" t="s">
        <v>7760</v>
      </c>
      <c r="V521" t="s">
        <v>7761</v>
      </c>
      <c r="W521" t="s">
        <v>7762</v>
      </c>
      <c r="X521" t="s">
        <v>7763</v>
      </c>
      <c r="Y521" t="s">
        <v>7764</v>
      </c>
      <c r="Z521" t="s">
        <v>7765</v>
      </c>
      <c r="AA521" t="s">
        <v>74</v>
      </c>
      <c r="AB521" t="s">
        <v>74</v>
      </c>
      <c r="AC521" t="s">
        <v>74</v>
      </c>
      <c r="AD521" t="s">
        <v>74</v>
      </c>
      <c r="AE521" t="s">
        <v>74</v>
      </c>
      <c r="AF521" t="s">
        <v>74</v>
      </c>
      <c r="AG521">
        <v>19</v>
      </c>
      <c r="AH521">
        <v>15</v>
      </c>
      <c r="AI521">
        <v>17</v>
      </c>
      <c r="AJ521">
        <v>0</v>
      </c>
      <c r="AK521">
        <v>7</v>
      </c>
      <c r="AL521" t="s">
        <v>1571</v>
      </c>
      <c r="AM521" t="s">
        <v>1572</v>
      </c>
      <c r="AN521" t="s">
        <v>1573</v>
      </c>
      <c r="AO521" t="s">
        <v>1574</v>
      </c>
      <c r="AP521" t="s">
        <v>1575</v>
      </c>
      <c r="AQ521" t="s">
        <v>74</v>
      </c>
      <c r="AR521" t="s">
        <v>1576</v>
      </c>
      <c r="AS521" t="s">
        <v>1577</v>
      </c>
      <c r="AT521" t="s">
        <v>7250</v>
      </c>
      <c r="AU521">
        <v>2004</v>
      </c>
      <c r="AV521">
        <v>17</v>
      </c>
      <c r="AW521">
        <v>16</v>
      </c>
      <c r="AX521" t="s">
        <v>74</v>
      </c>
      <c r="AY521" t="s">
        <v>74</v>
      </c>
      <c r="AZ521" t="s">
        <v>74</v>
      </c>
      <c r="BA521" t="s">
        <v>74</v>
      </c>
      <c r="BB521">
        <v>3214</v>
      </c>
      <c r="BC521">
        <v>3223</v>
      </c>
      <c r="BD521" t="s">
        <v>74</v>
      </c>
      <c r="BE521" t="s">
        <v>7766</v>
      </c>
      <c r="BF521" t="str">
        <f>HYPERLINK("http://dx.doi.org/10.1175/1520-0442(2004)017&lt;3214:SOAPTS&gt;2.0.CO;2","http://dx.doi.org/10.1175/1520-0442(2004)017&lt;3214:SOAPTS&gt;2.0.CO;2")</f>
        <v>http://dx.doi.org/10.1175/1520-0442(2004)017&lt;3214:SOAPTS&gt;2.0.CO;2</v>
      </c>
      <c r="BG521" t="s">
        <v>74</v>
      </c>
      <c r="BH521" t="s">
        <v>74</v>
      </c>
      <c r="BI521">
        <v>10</v>
      </c>
      <c r="BJ521" t="s">
        <v>291</v>
      </c>
      <c r="BK521" t="s">
        <v>139</v>
      </c>
      <c r="BL521" t="s">
        <v>291</v>
      </c>
      <c r="BM521" t="s">
        <v>7756</v>
      </c>
      <c r="BN521" t="s">
        <v>74</v>
      </c>
      <c r="BO521" t="s">
        <v>74</v>
      </c>
      <c r="BP521" t="s">
        <v>74</v>
      </c>
      <c r="BQ521" t="s">
        <v>74</v>
      </c>
      <c r="BR521" t="s">
        <v>98</v>
      </c>
      <c r="BS521" t="s">
        <v>7767</v>
      </c>
      <c r="BT521" t="str">
        <f>HYPERLINK("https%3A%2F%2Fwww.webofscience.com%2Fwos%2Fwoscc%2Ffull-record%2FWOS:000223374000012","View Full Record in Web of Science")</f>
        <v>View Full Record in Web of Science</v>
      </c>
    </row>
    <row r="522" spans="1:72" x14ac:dyDescent="0.15">
      <c r="A522" t="s">
        <v>122</v>
      </c>
      <c r="B522" t="s">
        <v>7768</v>
      </c>
      <c r="C522" t="s">
        <v>74</v>
      </c>
      <c r="D522" t="s">
        <v>74</v>
      </c>
      <c r="E522" t="s">
        <v>74</v>
      </c>
      <c r="F522" t="s">
        <v>7768</v>
      </c>
      <c r="G522" t="s">
        <v>74</v>
      </c>
      <c r="H522" t="s">
        <v>74</v>
      </c>
      <c r="I522" t="s">
        <v>7769</v>
      </c>
      <c r="J522" t="s">
        <v>6299</v>
      </c>
      <c r="K522" t="s">
        <v>74</v>
      </c>
      <c r="L522" t="s">
        <v>74</v>
      </c>
      <c r="M522" t="s">
        <v>79</v>
      </c>
      <c r="N522" t="s">
        <v>126</v>
      </c>
      <c r="O522" t="s">
        <v>74</v>
      </c>
      <c r="P522" t="s">
        <v>74</v>
      </c>
      <c r="Q522" t="s">
        <v>74</v>
      </c>
      <c r="R522" t="s">
        <v>74</v>
      </c>
      <c r="S522" t="s">
        <v>74</v>
      </c>
      <c r="T522" t="s">
        <v>7770</v>
      </c>
      <c r="U522" t="s">
        <v>7771</v>
      </c>
      <c r="V522" t="s">
        <v>7772</v>
      </c>
      <c r="W522" t="s">
        <v>7773</v>
      </c>
      <c r="X522" t="s">
        <v>7774</v>
      </c>
      <c r="Y522" t="s">
        <v>5429</v>
      </c>
      <c r="Z522" t="s">
        <v>7775</v>
      </c>
      <c r="AA522" t="s">
        <v>7776</v>
      </c>
      <c r="AB522" t="s">
        <v>7777</v>
      </c>
      <c r="AC522" t="s">
        <v>74</v>
      </c>
      <c r="AD522" t="s">
        <v>74</v>
      </c>
      <c r="AE522" t="s">
        <v>74</v>
      </c>
      <c r="AF522" t="s">
        <v>74</v>
      </c>
      <c r="AG522">
        <v>25</v>
      </c>
      <c r="AH522">
        <v>49</v>
      </c>
      <c r="AI522">
        <v>56</v>
      </c>
      <c r="AJ522">
        <v>0</v>
      </c>
      <c r="AK522">
        <v>34</v>
      </c>
      <c r="AL522" t="s">
        <v>1418</v>
      </c>
      <c r="AM522" t="s">
        <v>1419</v>
      </c>
      <c r="AN522" t="s">
        <v>1420</v>
      </c>
      <c r="AO522" t="s">
        <v>6307</v>
      </c>
      <c r="AP522" t="s">
        <v>6308</v>
      </c>
      <c r="AQ522" t="s">
        <v>74</v>
      </c>
      <c r="AR522" t="s">
        <v>6309</v>
      </c>
      <c r="AS522" t="s">
        <v>6310</v>
      </c>
      <c r="AT522" t="s">
        <v>7250</v>
      </c>
      <c r="AU522">
        <v>2004</v>
      </c>
      <c r="AV522">
        <v>65</v>
      </c>
      <c r="AW522">
        <v>2</v>
      </c>
      <c r="AX522" t="s">
        <v>74</v>
      </c>
      <c r="AY522" t="s">
        <v>74</v>
      </c>
      <c r="AZ522" t="s">
        <v>74</v>
      </c>
      <c r="BA522" t="s">
        <v>74</v>
      </c>
      <c r="BB522">
        <v>586</v>
      </c>
      <c r="BC522">
        <v>591</v>
      </c>
      <c r="BD522" t="s">
        <v>74</v>
      </c>
      <c r="BE522" t="s">
        <v>7778</v>
      </c>
      <c r="BF522" t="str">
        <f>HYPERLINK("http://dx.doi.org/10.1111/j.0022-1112.2004.00466.x","http://dx.doi.org/10.1111/j.0022-1112.2004.00466.x")</f>
        <v>http://dx.doi.org/10.1111/j.0022-1112.2004.00466.x</v>
      </c>
      <c r="BG522" t="s">
        <v>74</v>
      </c>
      <c r="BH522" t="s">
        <v>74</v>
      </c>
      <c r="BI522">
        <v>6</v>
      </c>
      <c r="BJ522" t="s">
        <v>6312</v>
      </c>
      <c r="BK522" t="s">
        <v>139</v>
      </c>
      <c r="BL522" t="s">
        <v>6312</v>
      </c>
      <c r="BM522" t="s">
        <v>7779</v>
      </c>
      <c r="BN522" t="s">
        <v>74</v>
      </c>
      <c r="BO522" t="s">
        <v>273</v>
      </c>
      <c r="BP522" t="s">
        <v>74</v>
      </c>
      <c r="BQ522" t="s">
        <v>74</v>
      </c>
      <c r="BR522" t="s">
        <v>98</v>
      </c>
      <c r="BS522" t="s">
        <v>7780</v>
      </c>
      <c r="BT522" t="str">
        <f>HYPERLINK("https%3A%2F%2Fwww.webofscience.com%2Fwos%2Fwoscc%2Ffull-record%2FWOS:000223364400024","View Full Record in Web of Science")</f>
        <v>View Full Record in Web of Science</v>
      </c>
    </row>
    <row r="523" spans="1:72" x14ac:dyDescent="0.15">
      <c r="A523" t="s">
        <v>122</v>
      </c>
      <c r="B523" t="s">
        <v>7781</v>
      </c>
      <c r="C523" t="s">
        <v>74</v>
      </c>
      <c r="D523" t="s">
        <v>74</v>
      </c>
      <c r="E523" t="s">
        <v>74</v>
      </c>
      <c r="F523" t="s">
        <v>7781</v>
      </c>
      <c r="G523" t="s">
        <v>74</v>
      </c>
      <c r="H523" t="s">
        <v>74</v>
      </c>
      <c r="I523" t="s">
        <v>7782</v>
      </c>
      <c r="J523" t="s">
        <v>7783</v>
      </c>
      <c r="K523" t="s">
        <v>74</v>
      </c>
      <c r="L523" t="s">
        <v>74</v>
      </c>
      <c r="M523" t="s">
        <v>79</v>
      </c>
      <c r="N523" t="s">
        <v>126</v>
      </c>
      <c r="O523" t="s">
        <v>74</v>
      </c>
      <c r="P523" t="s">
        <v>74</v>
      </c>
      <c r="Q523" t="s">
        <v>74</v>
      </c>
      <c r="R523" t="s">
        <v>74</v>
      </c>
      <c r="S523" t="s">
        <v>74</v>
      </c>
      <c r="T523" t="s">
        <v>74</v>
      </c>
      <c r="U523" t="s">
        <v>7784</v>
      </c>
      <c r="V523" t="s">
        <v>7785</v>
      </c>
      <c r="W523" t="s">
        <v>7786</v>
      </c>
      <c r="X523" t="s">
        <v>7787</v>
      </c>
      <c r="Y523" t="s">
        <v>7788</v>
      </c>
      <c r="Z523" t="s">
        <v>7789</v>
      </c>
      <c r="AA523" t="s">
        <v>74</v>
      </c>
      <c r="AB523" t="s">
        <v>74</v>
      </c>
      <c r="AC523" t="s">
        <v>74</v>
      </c>
      <c r="AD523" t="s">
        <v>74</v>
      </c>
      <c r="AE523" t="s">
        <v>74</v>
      </c>
      <c r="AF523" t="s">
        <v>74</v>
      </c>
      <c r="AG523">
        <v>61</v>
      </c>
      <c r="AH523">
        <v>37</v>
      </c>
      <c r="AI523">
        <v>45</v>
      </c>
      <c r="AJ523">
        <v>1</v>
      </c>
      <c r="AK523">
        <v>8</v>
      </c>
      <c r="AL523" t="s">
        <v>1571</v>
      </c>
      <c r="AM523" t="s">
        <v>1572</v>
      </c>
      <c r="AN523" t="s">
        <v>1573</v>
      </c>
      <c r="AO523" t="s">
        <v>7790</v>
      </c>
      <c r="AP523" t="s">
        <v>74</v>
      </c>
      <c r="AQ523" t="s">
        <v>74</v>
      </c>
      <c r="AR523" t="s">
        <v>7791</v>
      </c>
      <c r="AS523" t="s">
        <v>7792</v>
      </c>
      <c r="AT523" t="s">
        <v>7250</v>
      </c>
      <c r="AU523">
        <v>2004</v>
      </c>
      <c r="AV523">
        <v>5</v>
      </c>
      <c r="AW523">
        <v>4</v>
      </c>
      <c r="AX523" t="s">
        <v>74</v>
      </c>
      <c r="AY523" t="s">
        <v>74</v>
      </c>
      <c r="AZ523" t="s">
        <v>74</v>
      </c>
      <c r="BA523" t="s">
        <v>74</v>
      </c>
      <c r="BB523">
        <v>611</v>
      </c>
      <c r="BC523">
        <v>624</v>
      </c>
      <c r="BD523" t="s">
        <v>74</v>
      </c>
      <c r="BE523" t="s">
        <v>7793</v>
      </c>
      <c r="BF523" t="str">
        <f>HYPERLINK("http://dx.doi.org/10.1175/1525-7541(2004)005&lt;0611:SOSIAN&gt;2.0.CO;2","http://dx.doi.org/10.1175/1525-7541(2004)005&lt;0611:SOSIAN&gt;2.0.CO;2")</f>
        <v>http://dx.doi.org/10.1175/1525-7541(2004)005&lt;0611:SOSIAN&gt;2.0.CO;2</v>
      </c>
      <c r="BG523" t="s">
        <v>74</v>
      </c>
      <c r="BH523" t="s">
        <v>74</v>
      </c>
      <c r="BI523">
        <v>14</v>
      </c>
      <c r="BJ523" t="s">
        <v>291</v>
      </c>
      <c r="BK523" t="s">
        <v>139</v>
      </c>
      <c r="BL523" t="s">
        <v>291</v>
      </c>
      <c r="BM523" t="s">
        <v>7794</v>
      </c>
      <c r="BN523" t="s">
        <v>74</v>
      </c>
      <c r="BO523" t="s">
        <v>2236</v>
      </c>
      <c r="BP523" t="s">
        <v>74</v>
      </c>
      <c r="BQ523" t="s">
        <v>74</v>
      </c>
      <c r="BR523" t="s">
        <v>98</v>
      </c>
      <c r="BS523" t="s">
        <v>7795</v>
      </c>
      <c r="BT523" t="str">
        <f>HYPERLINK("https%3A%2F%2Fwww.webofscience.com%2Fwos%2Fwoscc%2Ffull-record%2FWOS:000223257100003","View Full Record in Web of Science")</f>
        <v>View Full Record in Web of Science</v>
      </c>
    </row>
    <row r="524" spans="1:72" x14ac:dyDescent="0.15">
      <c r="A524" t="s">
        <v>122</v>
      </c>
      <c r="B524" t="s">
        <v>7796</v>
      </c>
      <c r="C524" t="s">
        <v>74</v>
      </c>
      <c r="D524" t="s">
        <v>74</v>
      </c>
      <c r="E524" t="s">
        <v>74</v>
      </c>
      <c r="F524" t="s">
        <v>7796</v>
      </c>
      <c r="G524" t="s">
        <v>74</v>
      </c>
      <c r="H524" t="s">
        <v>74</v>
      </c>
      <c r="I524" t="s">
        <v>7797</v>
      </c>
      <c r="J524" t="s">
        <v>7798</v>
      </c>
      <c r="K524" t="s">
        <v>74</v>
      </c>
      <c r="L524" t="s">
        <v>74</v>
      </c>
      <c r="M524" t="s">
        <v>79</v>
      </c>
      <c r="N524" t="s">
        <v>126</v>
      </c>
      <c r="O524" t="s">
        <v>74</v>
      </c>
      <c r="P524" t="s">
        <v>74</v>
      </c>
      <c r="Q524" t="s">
        <v>74</v>
      </c>
      <c r="R524" t="s">
        <v>74</v>
      </c>
      <c r="S524" t="s">
        <v>74</v>
      </c>
      <c r="T524" t="s">
        <v>74</v>
      </c>
      <c r="U524" t="s">
        <v>7799</v>
      </c>
      <c r="V524" t="s">
        <v>7800</v>
      </c>
      <c r="W524" t="s">
        <v>7801</v>
      </c>
      <c r="X524" t="s">
        <v>748</v>
      </c>
      <c r="Y524" t="s">
        <v>649</v>
      </c>
      <c r="Z524" t="s">
        <v>7802</v>
      </c>
      <c r="AA524" t="s">
        <v>7803</v>
      </c>
      <c r="AB524" t="s">
        <v>7804</v>
      </c>
      <c r="AC524" t="s">
        <v>74</v>
      </c>
      <c r="AD524" t="s">
        <v>74</v>
      </c>
      <c r="AE524" t="s">
        <v>74</v>
      </c>
      <c r="AF524" t="s">
        <v>74</v>
      </c>
      <c r="AG524">
        <v>10</v>
      </c>
      <c r="AH524">
        <v>6</v>
      </c>
      <c r="AI524">
        <v>7</v>
      </c>
      <c r="AJ524">
        <v>0</v>
      </c>
      <c r="AK524">
        <v>8</v>
      </c>
      <c r="AL524" t="s">
        <v>196</v>
      </c>
      <c r="AM524" t="s">
        <v>197</v>
      </c>
      <c r="AN524" t="s">
        <v>198</v>
      </c>
      <c r="AO524" t="s">
        <v>7805</v>
      </c>
      <c r="AP524" t="s">
        <v>7806</v>
      </c>
      <c r="AQ524" t="s">
        <v>74</v>
      </c>
      <c r="AR524" t="s">
        <v>7807</v>
      </c>
      <c r="AS524" t="s">
        <v>7808</v>
      </c>
      <c r="AT524" t="s">
        <v>7250</v>
      </c>
      <c r="AU524">
        <v>2004</v>
      </c>
      <c r="AV524">
        <v>70</v>
      </c>
      <c r="AW524" t="s">
        <v>74</v>
      </c>
      <c r="AX524">
        <v>3</v>
      </c>
      <c r="AY524" t="s">
        <v>74</v>
      </c>
      <c r="AZ524" t="s">
        <v>74</v>
      </c>
      <c r="BA524" t="s">
        <v>74</v>
      </c>
      <c r="BB524">
        <v>263</v>
      </c>
      <c r="BC524">
        <v>267</v>
      </c>
      <c r="BD524" t="s">
        <v>74</v>
      </c>
      <c r="BE524" t="s">
        <v>7809</v>
      </c>
      <c r="BF524" t="str">
        <f>HYPERLINK("http://dx.doi.org/10.1093/mollus/70.3.263","http://dx.doi.org/10.1093/mollus/70.3.263")</f>
        <v>http://dx.doi.org/10.1093/mollus/70.3.263</v>
      </c>
      <c r="BG524" t="s">
        <v>74</v>
      </c>
      <c r="BH524" t="s">
        <v>74</v>
      </c>
      <c r="BI524">
        <v>5</v>
      </c>
      <c r="BJ524" t="s">
        <v>4237</v>
      </c>
      <c r="BK524" t="s">
        <v>139</v>
      </c>
      <c r="BL524" t="s">
        <v>4237</v>
      </c>
      <c r="BM524" t="s">
        <v>7810</v>
      </c>
      <c r="BN524" t="s">
        <v>74</v>
      </c>
      <c r="BO524" t="s">
        <v>273</v>
      </c>
      <c r="BP524" t="s">
        <v>74</v>
      </c>
      <c r="BQ524" t="s">
        <v>74</v>
      </c>
      <c r="BR524" t="s">
        <v>98</v>
      </c>
      <c r="BS524" t="s">
        <v>7811</v>
      </c>
      <c r="BT524" t="str">
        <f>HYPERLINK("https%3A%2F%2Fwww.webofscience.com%2Fwos%2Fwoscc%2Ffull-record%2FWOS:000223283700008","View Full Record in Web of Science")</f>
        <v>View Full Record in Web of Science</v>
      </c>
    </row>
    <row r="525" spans="1:72" x14ac:dyDescent="0.15">
      <c r="A525" t="s">
        <v>122</v>
      </c>
      <c r="B525" t="s">
        <v>7812</v>
      </c>
      <c r="C525" t="s">
        <v>74</v>
      </c>
      <c r="D525" t="s">
        <v>74</v>
      </c>
      <c r="E525" t="s">
        <v>74</v>
      </c>
      <c r="F525" t="s">
        <v>7812</v>
      </c>
      <c r="G525" t="s">
        <v>74</v>
      </c>
      <c r="H525" t="s">
        <v>74</v>
      </c>
      <c r="I525" t="s">
        <v>7813</v>
      </c>
      <c r="J525" t="s">
        <v>4688</v>
      </c>
      <c r="K525" t="s">
        <v>74</v>
      </c>
      <c r="L525" t="s">
        <v>74</v>
      </c>
      <c r="M525" t="s">
        <v>79</v>
      </c>
      <c r="N525" t="s">
        <v>126</v>
      </c>
      <c r="O525" t="s">
        <v>74</v>
      </c>
      <c r="P525" t="s">
        <v>74</v>
      </c>
      <c r="Q525" t="s">
        <v>74</v>
      </c>
      <c r="R525" t="s">
        <v>74</v>
      </c>
      <c r="S525" t="s">
        <v>74</v>
      </c>
      <c r="T525" t="s">
        <v>74</v>
      </c>
      <c r="U525" t="s">
        <v>7814</v>
      </c>
      <c r="V525" t="s">
        <v>7815</v>
      </c>
      <c r="W525" t="s">
        <v>7816</v>
      </c>
      <c r="X525" t="s">
        <v>7817</v>
      </c>
      <c r="Y525" t="s">
        <v>7818</v>
      </c>
      <c r="Z525" t="s">
        <v>7819</v>
      </c>
      <c r="AA525" t="s">
        <v>7820</v>
      </c>
      <c r="AB525" t="s">
        <v>7821</v>
      </c>
      <c r="AC525" t="s">
        <v>74</v>
      </c>
      <c r="AD525" t="s">
        <v>74</v>
      </c>
      <c r="AE525" t="s">
        <v>74</v>
      </c>
      <c r="AF525" t="s">
        <v>74</v>
      </c>
      <c r="AG525">
        <v>43</v>
      </c>
      <c r="AH525">
        <v>55</v>
      </c>
      <c r="AI525">
        <v>67</v>
      </c>
      <c r="AJ525">
        <v>0</v>
      </c>
      <c r="AK525">
        <v>18</v>
      </c>
      <c r="AL525" t="s">
        <v>2170</v>
      </c>
      <c r="AM525" t="s">
        <v>240</v>
      </c>
      <c r="AN525" t="s">
        <v>2171</v>
      </c>
      <c r="AO525" t="s">
        <v>4695</v>
      </c>
      <c r="AP525" t="s">
        <v>4696</v>
      </c>
      <c r="AQ525" t="s">
        <v>74</v>
      </c>
      <c r="AR525" t="s">
        <v>4697</v>
      </c>
      <c r="AS525" t="s">
        <v>4698</v>
      </c>
      <c r="AT525" t="s">
        <v>7250</v>
      </c>
      <c r="AU525">
        <v>2004</v>
      </c>
      <c r="AV525">
        <v>67</v>
      </c>
      <c r="AW525">
        <v>8</v>
      </c>
      <c r="AX525" t="s">
        <v>74</v>
      </c>
      <c r="AY525" t="s">
        <v>74</v>
      </c>
      <c r="AZ525" t="s">
        <v>74</v>
      </c>
      <c r="BA525" t="s">
        <v>74</v>
      </c>
      <c r="BB525">
        <v>1295</v>
      </c>
      <c r="BC525">
        <v>1302</v>
      </c>
      <c r="BD525" t="s">
        <v>74</v>
      </c>
      <c r="BE525" t="s">
        <v>7822</v>
      </c>
      <c r="BF525" t="str">
        <f>HYPERLINK("http://dx.doi.org/10.1021/np049965c","http://dx.doi.org/10.1021/np049965c")</f>
        <v>http://dx.doi.org/10.1021/np049965c</v>
      </c>
      <c r="BG525" t="s">
        <v>74</v>
      </c>
      <c r="BH525" t="s">
        <v>74</v>
      </c>
      <c r="BI525">
        <v>8</v>
      </c>
      <c r="BJ525" t="s">
        <v>4700</v>
      </c>
      <c r="BK525" t="s">
        <v>4701</v>
      </c>
      <c r="BL525" t="s">
        <v>4702</v>
      </c>
      <c r="BM525" t="s">
        <v>7823</v>
      </c>
      <c r="BN525">
        <v>15332845</v>
      </c>
      <c r="BO525" t="s">
        <v>74</v>
      </c>
      <c r="BP525" t="s">
        <v>74</v>
      </c>
      <c r="BQ525" t="s">
        <v>74</v>
      </c>
      <c r="BR525" t="s">
        <v>98</v>
      </c>
      <c r="BS525" t="s">
        <v>7824</v>
      </c>
      <c r="BT525" t="str">
        <f>HYPERLINK("https%3A%2F%2Fwww.webofscience.com%2Fwos%2Fwoscc%2Ffull-record%2FWOS:000223600200016","View Full Record in Web of Science")</f>
        <v>View Full Record in Web of Science</v>
      </c>
    </row>
    <row r="526" spans="1:72" x14ac:dyDescent="0.15">
      <c r="A526" t="s">
        <v>122</v>
      </c>
      <c r="B526" t="s">
        <v>7825</v>
      </c>
      <c r="C526" t="s">
        <v>74</v>
      </c>
      <c r="D526" t="s">
        <v>74</v>
      </c>
      <c r="E526" t="s">
        <v>74</v>
      </c>
      <c r="F526" t="s">
        <v>7825</v>
      </c>
      <c r="G526" t="s">
        <v>74</v>
      </c>
      <c r="H526" t="s">
        <v>74</v>
      </c>
      <c r="I526" t="s">
        <v>7826</v>
      </c>
      <c r="J526" t="s">
        <v>1658</v>
      </c>
      <c r="K526" t="s">
        <v>74</v>
      </c>
      <c r="L526" t="s">
        <v>74</v>
      </c>
      <c r="M526" t="s">
        <v>79</v>
      </c>
      <c r="N526" t="s">
        <v>126</v>
      </c>
      <c r="O526" t="s">
        <v>74</v>
      </c>
      <c r="P526" t="s">
        <v>74</v>
      </c>
      <c r="Q526" t="s">
        <v>74</v>
      </c>
      <c r="R526" t="s">
        <v>74</v>
      </c>
      <c r="S526" t="s">
        <v>74</v>
      </c>
      <c r="T526" t="s">
        <v>7827</v>
      </c>
      <c r="U526" t="s">
        <v>7828</v>
      </c>
      <c r="V526" t="s">
        <v>7829</v>
      </c>
      <c r="W526" t="s">
        <v>1078</v>
      </c>
      <c r="X526" t="s">
        <v>548</v>
      </c>
      <c r="Y526" t="s">
        <v>7830</v>
      </c>
      <c r="Z526" t="s">
        <v>7831</v>
      </c>
      <c r="AA526" t="s">
        <v>7832</v>
      </c>
      <c r="AB526" t="s">
        <v>7833</v>
      </c>
      <c r="AC526" t="s">
        <v>74</v>
      </c>
      <c r="AD526" t="s">
        <v>74</v>
      </c>
      <c r="AE526" t="s">
        <v>74</v>
      </c>
      <c r="AF526" t="s">
        <v>74</v>
      </c>
      <c r="AG526">
        <v>44</v>
      </c>
      <c r="AH526">
        <v>65</v>
      </c>
      <c r="AI526">
        <v>76</v>
      </c>
      <c r="AJ526">
        <v>4</v>
      </c>
      <c r="AK526">
        <v>34</v>
      </c>
      <c r="AL526" t="s">
        <v>1418</v>
      </c>
      <c r="AM526" t="s">
        <v>1419</v>
      </c>
      <c r="AN526" t="s">
        <v>1420</v>
      </c>
      <c r="AO526" t="s">
        <v>1667</v>
      </c>
      <c r="AP526" t="s">
        <v>1668</v>
      </c>
      <c r="AQ526" t="s">
        <v>74</v>
      </c>
      <c r="AR526" t="s">
        <v>1669</v>
      </c>
      <c r="AS526" t="s">
        <v>1670</v>
      </c>
      <c r="AT526" t="s">
        <v>7250</v>
      </c>
      <c r="AU526">
        <v>2004</v>
      </c>
      <c r="AV526">
        <v>40</v>
      </c>
      <c r="AW526">
        <v>4</v>
      </c>
      <c r="AX526" t="s">
        <v>74</v>
      </c>
      <c r="AY526" t="s">
        <v>74</v>
      </c>
      <c r="AZ526" t="s">
        <v>74</v>
      </c>
      <c r="BA526" t="s">
        <v>74</v>
      </c>
      <c r="BB526">
        <v>732</v>
      </c>
      <c r="BC526">
        <v>741</v>
      </c>
      <c r="BD526" t="s">
        <v>74</v>
      </c>
      <c r="BE526" t="s">
        <v>7834</v>
      </c>
      <c r="BF526" t="str">
        <f>HYPERLINK("http://dx.doi.org/10.1111/j.1529-8817.2004.03224.x","http://dx.doi.org/10.1111/j.1529-8817.2004.03224.x")</f>
        <v>http://dx.doi.org/10.1111/j.1529-8817.2004.03224.x</v>
      </c>
      <c r="BG526" t="s">
        <v>74</v>
      </c>
      <c r="BH526" t="s">
        <v>74</v>
      </c>
      <c r="BI526">
        <v>10</v>
      </c>
      <c r="BJ526" t="s">
        <v>1672</v>
      </c>
      <c r="BK526" t="s">
        <v>139</v>
      </c>
      <c r="BL526" t="s">
        <v>1672</v>
      </c>
      <c r="BM526" t="s">
        <v>7835</v>
      </c>
      <c r="BN526" t="s">
        <v>74</v>
      </c>
      <c r="BO526" t="s">
        <v>74</v>
      </c>
      <c r="BP526" t="s">
        <v>74</v>
      </c>
      <c r="BQ526" t="s">
        <v>74</v>
      </c>
      <c r="BR526" t="s">
        <v>98</v>
      </c>
      <c r="BS526" t="s">
        <v>7836</v>
      </c>
      <c r="BT526" t="str">
        <f>HYPERLINK("https%3A%2F%2Fwww.webofscience.com%2Fwos%2Fwoscc%2Ffull-record%2FWOS:000223171900014","View Full Record in Web of Science")</f>
        <v>View Full Record in Web of Science</v>
      </c>
    </row>
    <row r="527" spans="1:72" x14ac:dyDescent="0.15">
      <c r="A527" t="s">
        <v>122</v>
      </c>
      <c r="B527" t="s">
        <v>7837</v>
      </c>
      <c r="C527" t="s">
        <v>74</v>
      </c>
      <c r="D527" t="s">
        <v>74</v>
      </c>
      <c r="E527" t="s">
        <v>74</v>
      </c>
      <c r="F527" t="s">
        <v>7837</v>
      </c>
      <c r="G527" t="s">
        <v>74</v>
      </c>
      <c r="H527" t="s">
        <v>74</v>
      </c>
      <c r="I527" t="s">
        <v>7838</v>
      </c>
      <c r="J527" t="s">
        <v>1677</v>
      </c>
      <c r="K527" t="s">
        <v>74</v>
      </c>
      <c r="L527" t="s">
        <v>74</v>
      </c>
      <c r="M527" t="s">
        <v>79</v>
      </c>
      <c r="N527" t="s">
        <v>126</v>
      </c>
      <c r="O527" t="s">
        <v>74</v>
      </c>
      <c r="P527" t="s">
        <v>74</v>
      </c>
      <c r="Q527" t="s">
        <v>74</v>
      </c>
      <c r="R527" t="s">
        <v>74</v>
      </c>
      <c r="S527" t="s">
        <v>74</v>
      </c>
      <c r="T527" t="s">
        <v>74</v>
      </c>
      <c r="U527" t="s">
        <v>7839</v>
      </c>
      <c r="V527" t="s">
        <v>7840</v>
      </c>
      <c r="W527" t="s">
        <v>7841</v>
      </c>
      <c r="X527" t="s">
        <v>7842</v>
      </c>
      <c r="Y527" t="s">
        <v>7843</v>
      </c>
      <c r="Z527" t="s">
        <v>7844</v>
      </c>
      <c r="AA527" t="s">
        <v>7845</v>
      </c>
      <c r="AB527" t="s">
        <v>7846</v>
      </c>
      <c r="AC527" t="s">
        <v>74</v>
      </c>
      <c r="AD527" t="s">
        <v>74</v>
      </c>
      <c r="AE527" t="s">
        <v>74</v>
      </c>
      <c r="AF527" t="s">
        <v>74</v>
      </c>
      <c r="AG527">
        <v>64</v>
      </c>
      <c r="AH527">
        <v>5</v>
      </c>
      <c r="AI527">
        <v>5</v>
      </c>
      <c r="AJ527">
        <v>0</v>
      </c>
      <c r="AK527">
        <v>7</v>
      </c>
      <c r="AL527" t="s">
        <v>1571</v>
      </c>
      <c r="AM527" t="s">
        <v>1572</v>
      </c>
      <c r="AN527" t="s">
        <v>1573</v>
      </c>
      <c r="AO527" t="s">
        <v>1686</v>
      </c>
      <c r="AP527" t="s">
        <v>74</v>
      </c>
      <c r="AQ527" t="s">
        <v>74</v>
      </c>
      <c r="AR527" t="s">
        <v>1688</v>
      </c>
      <c r="AS527" t="s">
        <v>1689</v>
      </c>
      <c r="AT527" t="s">
        <v>7250</v>
      </c>
      <c r="AU527">
        <v>2004</v>
      </c>
      <c r="AV527">
        <v>34</v>
      </c>
      <c r="AW527">
        <v>8</v>
      </c>
      <c r="AX527" t="s">
        <v>74</v>
      </c>
      <c r="AY527" t="s">
        <v>74</v>
      </c>
      <c r="AZ527" t="s">
        <v>74</v>
      </c>
      <c r="BA527" t="s">
        <v>74</v>
      </c>
      <c r="BB527">
        <v>1811</v>
      </c>
      <c r="BC527">
        <v>1823</v>
      </c>
      <c r="BD527" t="s">
        <v>74</v>
      </c>
      <c r="BE527" t="s">
        <v>7847</v>
      </c>
      <c r="BF527" t="str">
        <f>HYPERLINK("http://dx.doi.org/10.1175/1520-0485(2004)034&lt;1811:GOCMDF&gt;2.0.CO;2","http://dx.doi.org/10.1175/1520-0485(2004)034&lt;1811:GOCMDF&gt;2.0.CO;2")</f>
        <v>http://dx.doi.org/10.1175/1520-0485(2004)034&lt;1811:GOCMDF&gt;2.0.CO;2</v>
      </c>
      <c r="BG527" t="s">
        <v>74</v>
      </c>
      <c r="BH527" t="s">
        <v>74</v>
      </c>
      <c r="BI527">
        <v>13</v>
      </c>
      <c r="BJ527" t="s">
        <v>660</v>
      </c>
      <c r="BK527" t="s">
        <v>139</v>
      </c>
      <c r="BL527" t="s">
        <v>660</v>
      </c>
      <c r="BM527" t="s">
        <v>7848</v>
      </c>
      <c r="BN527" t="s">
        <v>74</v>
      </c>
      <c r="BO527" t="s">
        <v>2236</v>
      </c>
      <c r="BP527" t="s">
        <v>74</v>
      </c>
      <c r="BQ527" t="s">
        <v>74</v>
      </c>
      <c r="BR527" t="s">
        <v>98</v>
      </c>
      <c r="BS527" t="s">
        <v>7849</v>
      </c>
      <c r="BT527" t="str">
        <f>HYPERLINK("https%3A%2F%2Fwww.webofscience.com%2Fwos%2Fwoscc%2Ffull-record%2FWOS:000223139300002","View Full Record in Web of Science")</f>
        <v>View Full Record in Web of Science</v>
      </c>
    </row>
    <row r="528" spans="1:72" x14ac:dyDescent="0.15">
      <c r="A528" t="s">
        <v>122</v>
      </c>
      <c r="B528" t="s">
        <v>7850</v>
      </c>
      <c r="C528" t="s">
        <v>74</v>
      </c>
      <c r="D528" t="s">
        <v>74</v>
      </c>
      <c r="E528" t="s">
        <v>74</v>
      </c>
      <c r="F528" t="s">
        <v>7850</v>
      </c>
      <c r="G528" t="s">
        <v>74</v>
      </c>
      <c r="H528" t="s">
        <v>74</v>
      </c>
      <c r="I528" t="s">
        <v>7851</v>
      </c>
      <c r="J528" t="s">
        <v>1677</v>
      </c>
      <c r="K528" t="s">
        <v>74</v>
      </c>
      <c r="L528" t="s">
        <v>74</v>
      </c>
      <c r="M528" t="s">
        <v>79</v>
      </c>
      <c r="N528" t="s">
        <v>126</v>
      </c>
      <c r="O528" t="s">
        <v>74</v>
      </c>
      <c r="P528" t="s">
        <v>74</v>
      </c>
      <c r="Q528" t="s">
        <v>74</v>
      </c>
      <c r="R528" t="s">
        <v>74</v>
      </c>
      <c r="S528" t="s">
        <v>74</v>
      </c>
      <c r="T528" t="s">
        <v>74</v>
      </c>
      <c r="U528" t="s">
        <v>7852</v>
      </c>
      <c r="V528" t="s">
        <v>7853</v>
      </c>
      <c r="W528" t="s">
        <v>7854</v>
      </c>
      <c r="X528" t="s">
        <v>7855</v>
      </c>
      <c r="Y528" t="s">
        <v>7856</v>
      </c>
      <c r="Z528" t="s">
        <v>7857</v>
      </c>
      <c r="AA528" t="s">
        <v>7858</v>
      </c>
      <c r="AB528" t="s">
        <v>7859</v>
      </c>
      <c r="AC528" t="s">
        <v>74</v>
      </c>
      <c r="AD528" t="s">
        <v>74</v>
      </c>
      <c r="AE528" t="s">
        <v>74</v>
      </c>
      <c r="AF528" t="s">
        <v>74</v>
      </c>
      <c r="AG528">
        <v>49</v>
      </c>
      <c r="AH528">
        <v>60</v>
      </c>
      <c r="AI528">
        <v>66</v>
      </c>
      <c r="AJ528">
        <v>1</v>
      </c>
      <c r="AK528">
        <v>11</v>
      </c>
      <c r="AL528" t="s">
        <v>1571</v>
      </c>
      <c r="AM528" t="s">
        <v>1572</v>
      </c>
      <c r="AN528" t="s">
        <v>1573</v>
      </c>
      <c r="AO528" t="s">
        <v>1686</v>
      </c>
      <c r="AP528" t="s">
        <v>1687</v>
      </c>
      <c r="AQ528" t="s">
        <v>74</v>
      </c>
      <c r="AR528" t="s">
        <v>1688</v>
      </c>
      <c r="AS528" t="s">
        <v>1689</v>
      </c>
      <c r="AT528" t="s">
        <v>7250</v>
      </c>
      <c r="AU528">
        <v>2004</v>
      </c>
      <c r="AV528">
        <v>34</v>
      </c>
      <c r="AW528">
        <v>8</v>
      </c>
      <c r="AX528" t="s">
        <v>74</v>
      </c>
      <c r="AY528" t="s">
        <v>74</v>
      </c>
      <c r="AZ528" t="s">
        <v>74</v>
      </c>
      <c r="BA528" t="s">
        <v>74</v>
      </c>
      <c r="BB528">
        <v>1922</v>
      </c>
      <c r="BC528">
        <v>1935</v>
      </c>
      <c r="BD528" t="s">
        <v>74</v>
      </c>
      <c r="BE528" t="s">
        <v>7860</v>
      </c>
      <c r="BF528" t="str">
        <f>HYPERLINK("http://dx.doi.org/10.1175/1520-0485(2004)034&lt;1922:TGST&gt;2.0.CO;2","http://dx.doi.org/10.1175/1520-0485(2004)034&lt;1922:TGST&gt;2.0.CO;2")</f>
        <v>http://dx.doi.org/10.1175/1520-0485(2004)034&lt;1922:TGST&gt;2.0.CO;2</v>
      </c>
      <c r="BG528" t="s">
        <v>74</v>
      </c>
      <c r="BH528" t="s">
        <v>74</v>
      </c>
      <c r="BI528">
        <v>14</v>
      </c>
      <c r="BJ528" t="s">
        <v>660</v>
      </c>
      <c r="BK528" t="s">
        <v>139</v>
      </c>
      <c r="BL528" t="s">
        <v>660</v>
      </c>
      <c r="BM528" t="s">
        <v>7848</v>
      </c>
      <c r="BN528" t="s">
        <v>74</v>
      </c>
      <c r="BO528" t="s">
        <v>2236</v>
      </c>
      <c r="BP528" t="s">
        <v>74</v>
      </c>
      <c r="BQ528" t="s">
        <v>74</v>
      </c>
      <c r="BR528" t="s">
        <v>98</v>
      </c>
      <c r="BS528" t="s">
        <v>7861</v>
      </c>
      <c r="BT528" t="str">
        <f>HYPERLINK("https%3A%2F%2Fwww.webofscience.com%2Fwos%2Fwoscc%2Ffull-record%2FWOS:000223139300009","View Full Record in Web of Science")</f>
        <v>View Full Record in Web of Science</v>
      </c>
    </row>
    <row r="529" spans="1:72" x14ac:dyDescent="0.15">
      <c r="A529" t="s">
        <v>122</v>
      </c>
      <c r="B529" t="s">
        <v>7862</v>
      </c>
      <c r="C529" t="s">
        <v>74</v>
      </c>
      <c r="D529" t="s">
        <v>74</v>
      </c>
      <c r="E529" t="s">
        <v>74</v>
      </c>
      <c r="F529" t="s">
        <v>7862</v>
      </c>
      <c r="G529" t="s">
        <v>74</v>
      </c>
      <c r="H529" t="s">
        <v>74</v>
      </c>
      <c r="I529" t="s">
        <v>7863</v>
      </c>
      <c r="J529" t="s">
        <v>1695</v>
      </c>
      <c r="K529" t="s">
        <v>74</v>
      </c>
      <c r="L529" t="s">
        <v>74</v>
      </c>
      <c r="M529" t="s">
        <v>79</v>
      </c>
      <c r="N529" t="s">
        <v>126</v>
      </c>
      <c r="O529" t="s">
        <v>74</v>
      </c>
      <c r="P529" t="s">
        <v>74</v>
      </c>
      <c r="Q529" t="s">
        <v>74</v>
      </c>
      <c r="R529" t="s">
        <v>74</v>
      </c>
      <c r="S529" t="s">
        <v>74</v>
      </c>
      <c r="T529" t="s">
        <v>74</v>
      </c>
      <c r="U529" t="s">
        <v>7864</v>
      </c>
      <c r="V529" t="s">
        <v>7865</v>
      </c>
      <c r="W529" t="s">
        <v>7866</v>
      </c>
      <c r="X529" t="s">
        <v>7867</v>
      </c>
      <c r="Y529" t="s">
        <v>7868</v>
      </c>
      <c r="Z529" t="s">
        <v>7869</v>
      </c>
      <c r="AA529" t="s">
        <v>7870</v>
      </c>
      <c r="AB529" t="s">
        <v>7871</v>
      </c>
      <c r="AC529" t="s">
        <v>74</v>
      </c>
      <c r="AD529" t="s">
        <v>74</v>
      </c>
      <c r="AE529" t="s">
        <v>74</v>
      </c>
      <c r="AF529" t="s">
        <v>74</v>
      </c>
      <c r="AG529">
        <v>71</v>
      </c>
      <c r="AH529">
        <v>41</v>
      </c>
      <c r="AI529">
        <v>45</v>
      </c>
      <c r="AJ529">
        <v>2</v>
      </c>
      <c r="AK529">
        <v>12</v>
      </c>
      <c r="AL529" t="s">
        <v>196</v>
      </c>
      <c r="AM529" t="s">
        <v>197</v>
      </c>
      <c r="AN529" t="s">
        <v>198</v>
      </c>
      <c r="AO529" t="s">
        <v>1704</v>
      </c>
      <c r="AP529" t="s">
        <v>1705</v>
      </c>
      <c r="AQ529" t="s">
        <v>74</v>
      </c>
      <c r="AR529" t="s">
        <v>1706</v>
      </c>
      <c r="AS529" t="s">
        <v>1707</v>
      </c>
      <c r="AT529" t="s">
        <v>7250</v>
      </c>
      <c r="AU529">
        <v>2004</v>
      </c>
      <c r="AV529">
        <v>26</v>
      </c>
      <c r="AW529">
        <v>8</v>
      </c>
      <c r="AX529" t="s">
        <v>74</v>
      </c>
      <c r="AY529" t="s">
        <v>74</v>
      </c>
      <c r="AZ529" t="s">
        <v>74</v>
      </c>
      <c r="BA529" t="s">
        <v>74</v>
      </c>
      <c r="BB529">
        <v>885</v>
      </c>
      <c r="BC529">
        <v>900</v>
      </c>
      <c r="BD529" t="s">
        <v>74</v>
      </c>
      <c r="BE529" t="s">
        <v>7872</v>
      </c>
      <c r="BF529" t="str">
        <f>HYPERLINK("http://dx.doi.org/10.1093/plankt/fbh088","http://dx.doi.org/10.1093/plankt/fbh088")</f>
        <v>http://dx.doi.org/10.1093/plankt/fbh088</v>
      </c>
      <c r="BG529" t="s">
        <v>74</v>
      </c>
      <c r="BH529" t="s">
        <v>74</v>
      </c>
      <c r="BI529">
        <v>16</v>
      </c>
      <c r="BJ529" t="s">
        <v>1709</v>
      </c>
      <c r="BK529" t="s">
        <v>139</v>
      </c>
      <c r="BL529" t="s">
        <v>1709</v>
      </c>
      <c r="BM529" t="s">
        <v>7873</v>
      </c>
      <c r="BN529" t="s">
        <v>74</v>
      </c>
      <c r="BO529" t="s">
        <v>273</v>
      </c>
      <c r="BP529" t="s">
        <v>74</v>
      </c>
      <c r="BQ529" t="s">
        <v>74</v>
      </c>
      <c r="BR529" t="s">
        <v>98</v>
      </c>
      <c r="BS529" t="s">
        <v>7874</v>
      </c>
      <c r="BT529" t="str">
        <f>HYPERLINK("https%3A%2F%2Fwww.webofscience.com%2Fwos%2Fwoscc%2Ffull-record%2FWOS:000223144400006","View Full Record in Web of Science")</f>
        <v>View Full Record in Web of Science</v>
      </c>
    </row>
    <row r="530" spans="1:72" x14ac:dyDescent="0.15">
      <c r="A530" t="s">
        <v>122</v>
      </c>
      <c r="B530" t="s">
        <v>7875</v>
      </c>
      <c r="C530" t="s">
        <v>74</v>
      </c>
      <c r="D530" t="s">
        <v>74</v>
      </c>
      <c r="E530" t="s">
        <v>74</v>
      </c>
      <c r="F530" t="s">
        <v>7875</v>
      </c>
      <c r="G530" t="s">
        <v>74</v>
      </c>
      <c r="H530" t="s">
        <v>74</v>
      </c>
      <c r="I530" t="s">
        <v>7876</v>
      </c>
      <c r="J530" t="s">
        <v>7877</v>
      </c>
      <c r="K530" t="s">
        <v>74</v>
      </c>
      <c r="L530" t="s">
        <v>74</v>
      </c>
      <c r="M530" t="s">
        <v>79</v>
      </c>
      <c r="N530" t="s">
        <v>126</v>
      </c>
      <c r="O530" t="s">
        <v>74</v>
      </c>
      <c r="P530" t="s">
        <v>74</v>
      </c>
      <c r="Q530" t="s">
        <v>74</v>
      </c>
      <c r="R530" t="s">
        <v>74</v>
      </c>
      <c r="S530" t="s">
        <v>74</v>
      </c>
      <c r="T530" t="s">
        <v>7878</v>
      </c>
      <c r="U530" t="s">
        <v>7879</v>
      </c>
      <c r="V530" t="s">
        <v>7880</v>
      </c>
      <c r="W530" t="s">
        <v>7881</v>
      </c>
      <c r="X530" t="s">
        <v>5820</v>
      </c>
      <c r="Y530" t="s">
        <v>7882</v>
      </c>
      <c r="Z530" t="s">
        <v>7883</v>
      </c>
      <c r="AA530" t="s">
        <v>74</v>
      </c>
      <c r="AB530" t="s">
        <v>74</v>
      </c>
      <c r="AC530" t="s">
        <v>74</v>
      </c>
      <c r="AD530" t="s">
        <v>74</v>
      </c>
      <c r="AE530" t="s">
        <v>74</v>
      </c>
      <c r="AF530" t="s">
        <v>74</v>
      </c>
      <c r="AG530">
        <v>25</v>
      </c>
      <c r="AH530">
        <v>5</v>
      </c>
      <c r="AI530">
        <v>7</v>
      </c>
      <c r="AJ530">
        <v>0</v>
      </c>
      <c r="AK530">
        <v>3</v>
      </c>
      <c r="AL530" t="s">
        <v>7884</v>
      </c>
      <c r="AM530" t="s">
        <v>7885</v>
      </c>
      <c r="AN530" t="s">
        <v>7886</v>
      </c>
      <c r="AO530" t="s">
        <v>7887</v>
      </c>
      <c r="AP530" t="s">
        <v>74</v>
      </c>
      <c r="AQ530" t="s">
        <v>74</v>
      </c>
      <c r="AR530" t="s">
        <v>7888</v>
      </c>
      <c r="AS530" t="s">
        <v>7889</v>
      </c>
      <c r="AT530" t="s">
        <v>7250</v>
      </c>
      <c r="AU530">
        <v>2004</v>
      </c>
      <c r="AV530">
        <v>50</v>
      </c>
      <c r="AW530">
        <v>4</v>
      </c>
      <c r="AX530" t="s">
        <v>74</v>
      </c>
      <c r="AY530" t="s">
        <v>74</v>
      </c>
      <c r="AZ530" t="s">
        <v>74</v>
      </c>
      <c r="BA530" t="s">
        <v>74</v>
      </c>
      <c r="BB530">
        <v>381</v>
      </c>
      <c r="BC530">
        <v>389</v>
      </c>
      <c r="BD530" t="s">
        <v>74</v>
      </c>
      <c r="BE530" t="s">
        <v>7890</v>
      </c>
      <c r="BF530" t="str">
        <f>HYPERLINK("http://dx.doi.org/10.1262/jrd.50.381","http://dx.doi.org/10.1262/jrd.50.381")</f>
        <v>http://dx.doi.org/10.1262/jrd.50.381</v>
      </c>
      <c r="BG530" t="s">
        <v>74</v>
      </c>
      <c r="BH530" t="s">
        <v>74</v>
      </c>
      <c r="BI530">
        <v>9</v>
      </c>
      <c r="BJ530" t="s">
        <v>7891</v>
      </c>
      <c r="BK530" t="s">
        <v>139</v>
      </c>
      <c r="BL530" t="s">
        <v>7892</v>
      </c>
      <c r="BM530" t="s">
        <v>7893</v>
      </c>
      <c r="BN530">
        <v>15329469</v>
      </c>
      <c r="BO530" t="s">
        <v>2018</v>
      </c>
      <c r="BP530" t="s">
        <v>74</v>
      </c>
      <c r="BQ530" t="s">
        <v>74</v>
      </c>
      <c r="BR530" t="s">
        <v>98</v>
      </c>
      <c r="BS530" t="s">
        <v>7894</v>
      </c>
      <c r="BT530" t="str">
        <f>HYPERLINK("https%3A%2F%2Fwww.webofscience.com%2Fwos%2Fwoscc%2Ffull-record%2FWOS:000227788100001","View Full Record in Web of Science")</f>
        <v>View Full Record in Web of Science</v>
      </c>
    </row>
    <row r="531" spans="1:72" x14ac:dyDescent="0.15">
      <c r="A531" t="s">
        <v>122</v>
      </c>
      <c r="B531" t="s">
        <v>7895</v>
      </c>
      <c r="C531" t="s">
        <v>74</v>
      </c>
      <c r="D531" t="s">
        <v>74</v>
      </c>
      <c r="E531" t="s">
        <v>74</v>
      </c>
      <c r="F531" t="s">
        <v>7895</v>
      </c>
      <c r="G531" t="s">
        <v>74</v>
      </c>
      <c r="H531" t="s">
        <v>74</v>
      </c>
      <c r="I531" t="s">
        <v>7896</v>
      </c>
      <c r="J531" t="s">
        <v>4753</v>
      </c>
      <c r="K531" t="s">
        <v>74</v>
      </c>
      <c r="L531" t="s">
        <v>74</v>
      </c>
      <c r="M531" t="s">
        <v>79</v>
      </c>
      <c r="N531" t="s">
        <v>126</v>
      </c>
      <c r="O531" t="s">
        <v>74</v>
      </c>
      <c r="P531" t="s">
        <v>74</v>
      </c>
      <c r="Q531" t="s">
        <v>74</v>
      </c>
      <c r="R531" t="s">
        <v>74</v>
      </c>
      <c r="S531" t="s">
        <v>74</v>
      </c>
      <c r="T531" t="s">
        <v>74</v>
      </c>
      <c r="U531" t="s">
        <v>7897</v>
      </c>
      <c r="V531" t="s">
        <v>7898</v>
      </c>
      <c r="W531" t="s">
        <v>7899</v>
      </c>
      <c r="X531" t="s">
        <v>7678</v>
      </c>
      <c r="Y531" t="s">
        <v>7900</v>
      </c>
      <c r="Z531" t="s">
        <v>4795</v>
      </c>
      <c r="AA531" t="s">
        <v>4796</v>
      </c>
      <c r="AB531" t="s">
        <v>74</v>
      </c>
      <c r="AC531" t="s">
        <v>74</v>
      </c>
      <c r="AD531" t="s">
        <v>74</v>
      </c>
      <c r="AE531" t="s">
        <v>74</v>
      </c>
      <c r="AF531" t="s">
        <v>74</v>
      </c>
      <c r="AG531">
        <v>5</v>
      </c>
      <c r="AH531">
        <v>17</v>
      </c>
      <c r="AI531">
        <v>22</v>
      </c>
      <c r="AJ531">
        <v>0</v>
      </c>
      <c r="AK531">
        <v>2</v>
      </c>
      <c r="AL531" t="s">
        <v>919</v>
      </c>
      <c r="AM531" t="s">
        <v>613</v>
      </c>
      <c r="AN531" t="s">
        <v>937</v>
      </c>
      <c r="AO531" t="s">
        <v>4760</v>
      </c>
      <c r="AP531" t="s">
        <v>74</v>
      </c>
      <c r="AQ531" t="s">
        <v>74</v>
      </c>
      <c r="AR531" t="s">
        <v>4761</v>
      </c>
      <c r="AS531" t="s">
        <v>4762</v>
      </c>
      <c r="AT531" t="s">
        <v>7250</v>
      </c>
      <c r="AU531">
        <v>2004</v>
      </c>
      <c r="AV531">
        <v>84</v>
      </c>
      <c r="AW531">
        <v>4</v>
      </c>
      <c r="AX531" t="s">
        <v>74</v>
      </c>
      <c r="AY531" t="s">
        <v>74</v>
      </c>
      <c r="AZ531" t="s">
        <v>74</v>
      </c>
      <c r="BA531" t="s">
        <v>74</v>
      </c>
      <c r="BB531">
        <v>783</v>
      </c>
      <c r="BC531">
        <v>784</v>
      </c>
      <c r="BD531" t="s">
        <v>74</v>
      </c>
      <c r="BE531" t="s">
        <v>7901</v>
      </c>
      <c r="BF531" t="str">
        <f>HYPERLINK("http://dx.doi.org/10.1017/S0025315404009932","http://dx.doi.org/10.1017/S0025315404009932")</f>
        <v>http://dx.doi.org/10.1017/S0025315404009932</v>
      </c>
      <c r="BG531" t="s">
        <v>74</v>
      </c>
      <c r="BH531" t="s">
        <v>74</v>
      </c>
      <c r="BI531">
        <v>2</v>
      </c>
      <c r="BJ531" t="s">
        <v>1763</v>
      </c>
      <c r="BK531" t="s">
        <v>139</v>
      </c>
      <c r="BL531" t="s">
        <v>1763</v>
      </c>
      <c r="BM531" t="s">
        <v>7902</v>
      </c>
      <c r="BN531" t="s">
        <v>74</v>
      </c>
      <c r="BO531" t="s">
        <v>74</v>
      </c>
      <c r="BP531" t="s">
        <v>74</v>
      </c>
      <c r="BQ531" t="s">
        <v>74</v>
      </c>
      <c r="BR531" t="s">
        <v>98</v>
      </c>
      <c r="BS531" t="s">
        <v>7903</v>
      </c>
      <c r="BT531" t="str">
        <f>HYPERLINK("https%3A%2F%2Fwww.webofscience.com%2Fwos%2Fwoscc%2Ffull-record%2FWOS:000224119400019","View Full Record in Web of Science")</f>
        <v>View Full Record in Web of Science</v>
      </c>
    </row>
    <row r="532" spans="1:72" x14ac:dyDescent="0.15">
      <c r="A532" t="s">
        <v>122</v>
      </c>
      <c r="B532" t="s">
        <v>7904</v>
      </c>
      <c r="C532" t="s">
        <v>74</v>
      </c>
      <c r="D532" t="s">
        <v>74</v>
      </c>
      <c r="E532" t="s">
        <v>74</v>
      </c>
      <c r="F532" t="s">
        <v>7904</v>
      </c>
      <c r="G532" t="s">
        <v>74</v>
      </c>
      <c r="H532" t="s">
        <v>74</v>
      </c>
      <c r="I532" t="s">
        <v>7905</v>
      </c>
      <c r="J532" t="s">
        <v>4753</v>
      </c>
      <c r="K532" t="s">
        <v>74</v>
      </c>
      <c r="L532" t="s">
        <v>74</v>
      </c>
      <c r="M532" t="s">
        <v>79</v>
      </c>
      <c r="N532" t="s">
        <v>126</v>
      </c>
      <c r="O532" t="s">
        <v>74</v>
      </c>
      <c r="P532" t="s">
        <v>74</v>
      </c>
      <c r="Q532" t="s">
        <v>74</v>
      </c>
      <c r="R532" t="s">
        <v>74</v>
      </c>
      <c r="S532" t="s">
        <v>74</v>
      </c>
      <c r="T532" t="s">
        <v>74</v>
      </c>
      <c r="U532" t="s">
        <v>7906</v>
      </c>
      <c r="V532" t="s">
        <v>7907</v>
      </c>
      <c r="W532" t="s">
        <v>2323</v>
      </c>
      <c r="X532" t="s">
        <v>748</v>
      </c>
      <c r="Y532" t="s">
        <v>7908</v>
      </c>
      <c r="Z532" t="s">
        <v>7909</v>
      </c>
      <c r="AA532" t="s">
        <v>74</v>
      </c>
      <c r="AB532" t="s">
        <v>74</v>
      </c>
      <c r="AC532" t="s">
        <v>74</v>
      </c>
      <c r="AD532" t="s">
        <v>74</v>
      </c>
      <c r="AE532" t="s">
        <v>74</v>
      </c>
      <c r="AF532" t="s">
        <v>74</v>
      </c>
      <c r="AG532">
        <v>10</v>
      </c>
      <c r="AH532">
        <v>14</v>
      </c>
      <c r="AI532">
        <v>15</v>
      </c>
      <c r="AJ532">
        <v>0</v>
      </c>
      <c r="AK532">
        <v>10</v>
      </c>
      <c r="AL532" t="s">
        <v>919</v>
      </c>
      <c r="AM532" t="s">
        <v>613</v>
      </c>
      <c r="AN532" t="s">
        <v>937</v>
      </c>
      <c r="AO532" t="s">
        <v>4760</v>
      </c>
      <c r="AP532" t="s">
        <v>4775</v>
      </c>
      <c r="AQ532" t="s">
        <v>74</v>
      </c>
      <c r="AR532" t="s">
        <v>4761</v>
      </c>
      <c r="AS532" t="s">
        <v>4762</v>
      </c>
      <c r="AT532" t="s">
        <v>7250</v>
      </c>
      <c r="AU532">
        <v>2004</v>
      </c>
      <c r="AV532">
        <v>84</v>
      </c>
      <c r="AW532">
        <v>4</v>
      </c>
      <c r="AX532" t="s">
        <v>74</v>
      </c>
      <c r="AY532" t="s">
        <v>74</v>
      </c>
      <c r="AZ532" t="s">
        <v>74</v>
      </c>
      <c r="BA532" t="s">
        <v>74</v>
      </c>
      <c r="BB532">
        <v>785</v>
      </c>
      <c r="BC532">
        <v>788</v>
      </c>
      <c r="BD532" t="s">
        <v>74</v>
      </c>
      <c r="BE532" t="s">
        <v>7910</v>
      </c>
      <c r="BF532" t="str">
        <f>HYPERLINK("http://dx.doi.org/10.1017/S0025315404009944h","http://dx.doi.org/10.1017/S0025315404009944h")</f>
        <v>http://dx.doi.org/10.1017/S0025315404009944h</v>
      </c>
      <c r="BG532" t="s">
        <v>74</v>
      </c>
      <c r="BH532" t="s">
        <v>74</v>
      </c>
      <c r="BI532">
        <v>4</v>
      </c>
      <c r="BJ532" t="s">
        <v>1763</v>
      </c>
      <c r="BK532" t="s">
        <v>139</v>
      </c>
      <c r="BL532" t="s">
        <v>1763</v>
      </c>
      <c r="BM532" t="s">
        <v>7902</v>
      </c>
      <c r="BN532" t="s">
        <v>74</v>
      </c>
      <c r="BO532" t="s">
        <v>74</v>
      </c>
      <c r="BP532" t="s">
        <v>74</v>
      </c>
      <c r="BQ532" t="s">
        <v>74</v>
      </c>
      <c r="BR532" t="s">
        <v>98</v>
      </c>
      <c r="BS532" t="s">
        <v>7911</v>
      </c>
      <c r="BT532" t="str">
        <f>HYPERLINK("https%3A%2F%2Fwww.webofscience.com%2Fwos%2Fwoscc%2Ffull-record%2FWOS:000224119400020","View Full Record in Web of Science")</f>
        <v>View Full Record in Web of Science</v>
      </c>
    </row>
    <row r="533" spans="1:72" x14ac:dyDescent="0.15">
      <c r="A533" t="s">
        <v>122</v>
      </c>
      <c r="B533" t="s">
        <v>7912</v>
      </c>
      <c r="C533" t="s">
        <v>74</v>
      </c>
      <c r="D533" t="s">
        <v>74</v>
      </c>
      <c r="E533" t="s">
        <v>74</v>
      </c>
      <c r="F533" t="s">
        <v>7912</v>
      </c>
      <c r="G533" t="s">
        <v>74</v>
      </c>
      <c r="H533" t="s">
        <v>74</v>
      </c>
      <c r="I533" t="s">
        <v>7913</v>
      </c>
      <c r="J533" t="s">
        <v>7914</v>
      </c>
      <c r="K533" t="s">
        <v>74</v>
      </c>
      <c r="L533" t="s">
        <v>74</v>
      </c>
      <c r="M533" t="s">
        <v>79</v>
      </c>
      <c r="N533" t="s">
        <v>126</v>
      </c>
      <c r="O533" t="s">
        <v>74</v>
      </c>
      <c r="P533" t="s">
        <v>74</v>
      </c>
      <c r="Q533" t="s">
        <v>74</v>
      </c>
      <c r="R533" t="s">
        <v>74</v>
      </c>
      <c r="S533" t="s">
        <v>74</v>
      </c>
      <c r="T533" t="s">
        <v>74</v>
      </c>
      <c r="U533" t="s">
        <v>7915</v>
      </c>
      <c r="V533" t="s">
        <v>7916</v>
      </c>
      <c r="W533" t="s">
        <v>7917</v>
      </c>
      <c r="X533" t="s">
        <v>7918</v>
      </c>
      <c r="Y533" t="s">
        <v>7919</v>
      </c>
      <c r="Z533" t="s">
        <v>7920</v>
      </c>
      <c r="AA533" t="s">
        <v>74</v>
      </c>
      <c r="AB533" t="s">
        <v>74</v>
      </c>
      <c r="AC533" t="s">
        <v>74</v>
      </c>
      <c r="AD533" t="s">
        <v>74</v>
      </c>
      <c r="AE533" t="s">
        <v>74</v>
      </c>
      <c r="AF533" t="s">
        <v>74</v>
      </c>
      <c r="AG533">
        <v>25</v>
      </c>
      <c r="AH533">
        <v>95</v>
      </c>
      <c r="AI533">
        <v>131</v>
      </c>
      <c r="AJ533">
        <v>0</v>
      </c>
      <c r="AK533">
        <v>30</v>
      </c>
      <c r="AL533" t="s">
        <v>7921</v>
      </c>
      <c r="AM533" t="s">
        <v>2076</v>
      </c>
      <c r="AN533" t="s">
        <v>7922</v>
      </c>
      <c r="AO533" t="s">
        <v>7923</v>
      </c>
      <c r="AP533" t="s">
        <v>74</v>
      </c>
      <c r="AQ533" t="s">
        <v>74</v>
      </c>
      <c r="AR533" t="s">
        <v>7924</v>
      </c>
      <c r="AS533" t="s">
        <v>7925</v>
      </c>
      <c r="AT533" t="s">
        <v>7250</v>
      </c>
      <c r="AU533">
        <v>2004</v>
      </c>
      <c r="AV533">
        <v>82</v>
      </c>
      <c r="AW533">
        <v>4</v>
      </c>
      <c r="AX533" t="s">
        <v>74</v>
      </c>
      <c r="AY533" t="s">
        <v>74</v>
      </c>
      <c r="AZ533" t="s">
        <v>74</v>
      </c>
      <c r="BA533" t="s">
        <v>74</v>
      </c>
      <c r="BB533">
        <v>1173</v>
      </c>
      <c r="BC533">
        <v>1186</v>
      </c>
      <c r="BD533" t="s">
        <v>74</v>
      </c>
      <c r="BE533" t="s">
        <v>7926</v>
      </c>
      <c r="BF533" t="str">
        <f>HYPERLINK("http://dx.doi.org/10.2151/jmsj.2004.1173","http://dx.doi.org/10.2151/jmsj.2004.1173")</f>
        <v>http://dx.doi.org/10.2151/jmsj.2004.1173</v>
      </c>
      <c r="BG533" t="s">
        <v>74</v>
      </c>
      <c r="BH533" t="s">
        <v>74</v>
      </c>
      <c r="BI533">
        <v>14</v>
      </c>
      <c r="BJ533" t="s">
        <v>291</v>
      </c>
      <c r="BK533" t="s">
        <v>139</v>
      </c>
      <c r="BL533" t="s">
        <v>291</v>
      </c>
      <c r="BM533" t="s">
        <v>7927</v>
      </c>
      <c r="BN533" t="s">
        <v>74</v>
      </c>
      <c r="BO533" t="s">
        <v>273</v>
      </c>
      <c r="BP533" t="s">
        <v>74</v>
      </c>
      <c r="BQ533" t="s">
        <v>74</v>
      </c>
      <c r="BR533" t="s">
        <v>98</v>
      </c>
      <c r="BS533" t="s">
        <v>7928</v>
      </c>
      <c r="BT533" t="str">
        <f>HYPERLINK("https%3A%2F%2Fwww.webofscience.com%2Fwos%2Fwoscc%2Ffull-record%2FWOS:000224505000013","View Full Record in Web of Science")</f>
        <v>View Full Record in Web of Science</v>
      </c>
    </row>
    <row r="534" spans="1:72" x14ac:dyDescent="0.15">
      <c r="A534" t="s">
        <v>122</v>
      </c>
      <c r="B534" t="s">
        <v>7929</v>
      </c>
      <c r="C534" t="s">
        <v>74</v>
      </c>
      <c r="D534" t="s">
        <v>74</v>
      </c>
      <c r="E534" t="s">
        <v>74</v>
      </c>
      <c r="F534" t="s">
        <v>7929</v>
      </c>
      <c r="G534" t="s">
        <v>74</v>
      </c>
      <c r="H534" t="s">
        <v>74</v>
      </c>
      <c r="I534" t="s">
        <v>7930</v>
      </c>
      <c r="J534" t="s">
        <v>7931</v>
      </c>
      <c r="K534" t="s">
        <v>74</v>
      </c>
      <c r="L534" t="s">
        <v>74</v>
      </c>
      <c r="M534" t="s">
        <v>79</v>
      </c>
      <c r="N534" t="s">
        <v>126</v>
      </c>
      <c r="O534" t="s">
        <v>74</v>
      </c>
      <c r="P534" t="s">
        <v>74</v>
      </c>
      <c r="Q534" t="s">
        <v>74</v>
      </c>
      <c r="R534" t="s">
        <v>74</v>
      </c>
      <c r="S534" t="s">
        <v>74</v>
      </c>
      <c r="T534" t="s">
        <v>7932</v>
      </c>
      <c r="U534" t="s">
        <v>7933</v>
      </c>
      <c r="V534" t="s">
        <v>7934</v>
      </c>
      <c r="W534" t="s">
        <v>7935</v>
      </c>
      <c r="X534" t="s">
        <v>7936</v>
      </c>
      <c r="Y534" t="s">
        <v>7937</v>
      </c>
      <c r="Z534" t="s">
        <v>7938</v>
      </c>
      <c r="AA534" t="s">
        <v>7939</v>
      </c>
      <c r="AB534" t="s">
        <v>7940</v>
      </c>
      <c r="AC534" t="s">
        <v>74</v>
      </c>
      <c r="AD534" t="s">
        <v>74</v>
      </c>
      <c r="AE534" t="s">
        <v>74</v>
      </c>
      <c r="AF534" t="s">
        <v>74</v>
      </c>
      <c r="AG534">
        <v>27</v>
      </c>
      <c r="AH534">
        <v>37</v>
      </c>
      <c r="AI534">
        <v>46</v>
      </c>
      <c r="AJ534">
        <v>0</v>
      </c>
      <c r="AK534">
        <v>14</v>
      </c>
      <c r="AL534" t="s">
        <v>562</v>
      </c>
      <c r="AM534" t="s">
        <v>532</v>
      </c>
      <c r="AN534" t="s">
        <v>563</v>
      </c>
      <c r="AO534" t="s">
        <v>7941</v>
      </c>
      <c r="AP534" t="s">
        <v>7942</v>
      </c>
      <c r="AQ534" t="s">
        <v>74</v>
      </c>
      <c r="AR534" t="s">
        <v>7931</v>
      </c>
      <c r="AS534" t="s">
        <v>7943</v>
      </c>
      <c r="AT534" t="s">
        <v>7250</v>
      </c>
      <c r="AU534">
        <v>2004</v>
      </c>
      <c r="AV534">
        <v>75</v>
      </c>
      <c r="AW534" t="s">
        <v>538</v>
      </c>
      <c r="AX534" t="s">
        <v>74</v>
      </c>
      <c r="AY534" t="s">
        <v>74</v>
      </c>
      <c r="AZ534" t="s">
        <v>74</v>
      </c>
      <c r="BA534" t="s">
        <v>74</v>
      </c>
      <c r="BB534">
        <v>373</v>
      </c>
      <c r="BC534">
        <v>388</v>
      </c>
      <c r="BD534" t="s">
        <v>74</v>
      </c>
      <c r="BE534" t="s">
        <v>7944</v>
      </c>
      <c r="BF534" t="str">
        <f>HYPERLINK("http://dx.doi.org/10.1016/j.lithos.2004.03.007","http://dx.doi.org/10.1016/j.lithos.2004.03.007")</f>
        <v>http://dx.doi.org/10.1016/j.lithos.2004.03.007</v>
      </c>
      <c r="BG534" t="s">
        <v>74</v>
      </c>
      <c r="BH534" t="s">
        <v>74</v>
      </c>
      <c r="BI534">
        <v>16</v>
      </c>
      <c r="BJ534" t="s">
        <v>7945</v>
      </c>
      <c r="BK534" t="s">
        <v>139</v>
      </c>
      <c r="BL534" t="s">
        <v>7945</v>
      </c>
      <c r="BM534" t="s">
        <v>7946</v>
      </c>
      <c r="BN534" t="s">
        <v>74</v>
      </c>
      <c r="BO534" t="s">
        <v>74</v>
      </c>
      <c r="BP534" t="s">
        <v>74</v>
      </c>
      <c r="BQ534" t="s">
        <v>74</v>
      </c>
      <c r="BR534" t="s">
        <v>98</v>
      </c>
      <c r="BS534" t="s">
        <v>7947</v>
      </c>
      <c r="BT534" t="str">
        <f>HYPERLINK("https%3A%2F%2Fwww.webofscience.com%2Fwos%2Fwoscc%2Ffull-record%2FWOS:000222836800006","View Full Record in Web of Science")</f>
        <v>View Full Record in Web of Science</v>
      </c>
    </row>
    <row r="535" spans="1:72" x14ac:dyDescent="0.15">
      <c r="A535" t="s">
        <v>122</v>
      </c>
      <c r="B535" t="s">
        <v>7948</v>
      </c>
      <c r="C535" t="s">
        <v>74</v>
      </c>
      <c r="D535" t="s">
        <v>74</v>
      </c>
      <c r="E535" t="s">
        <v>74</v>
      </c>
      <c r="F535" t="s">
        <v>7948</v>
      </c>
      <c r="G535" t="s">
        <v>74</v>
      </c>
      <c r="H535" t="s">
        <v>74</v>
      </c>
      <c r="I535" t="s">
        <v>7949</v>
      </c>
      <c r="J535" t="s">
        <v>1751</v>
      </c>
      <c r="K535" t="s">
        <v>74</v>
      </c>
      <c r="L535" t="s">
        <v>74</v>
      </c>
      <c r="M535" t="s">
        <v>79</v>
      </c>
      <c r="N535" t="s">
        <v>581</v>
      </c>
      <c r="O535" t="s">
        <v>74</v>
      </c>
      <c r="P535" t="s">
        <v>74</v>
      </c>
      <c r="Q535" t="s">
        <v>74</v>
      </c>
      <c r="R535" t="s">
        <v>74</v>
      </c>
      <c r="S535" t="s">
        <v>74</v>
      </c>
      <c r="T535" t="s">
        <v>74</v>
      </c>
      <c r="U535" t="s">
        <v>7950</v>
      </c>
      <c r="V535" t="s">
        <v>7951</v>
      </c>
      <c r="W535" t="s">
        <v>7952</v>
      </c>
      <c r="X535" t="s">
        <v>7953</v>
      </c>
      <c r="Y535" t="s">
        <v>7954</v>
      </c>
      <c r="Z535" t="s">
        <v>7955</v>
      </c>
      <c r="AA535" t="s">
        <v>74</v>
      </c>
      <c r="AB535" t="s">
        <v>74</v>
      </c>
      <c r="AC535" t="s">
        <v>74</v>
      </c>
      <c r="AD535" t="s">
        <v>74</v>
      </c>
      <c r="AE535" t="s">
        <v>74</v>
      </c>
      <c r="AF535" t="s">
        <v>74</v>
      </c>
      <c r="AG535">
        <v>118</v>
      </c>
      <c r="AH535">
        <v>27</v>
      </c>
      <c r="AI535">
        <v>28</v>
      </c>
      <c r="AJ535">
        <v>0</v>
      </c>
      <c r="AK535">
        <v>18</v>
      </c>
      <c r="AL535" t="s">
        <v>1755</v>
      </c>
      <c r="AM535" t="s">
        <v>1756</v>
      </c>
      <c r="AN535" t="s">
        <v>1757</v>
      </c>
      <c r="AO535" t="s">
        <v>1758</v>
      </c>
      <c r="AP535" t="s">
        <v>1759</v>
      </c>
      <c r="AQ535" t="s">
        <v>74</v>
      </c>
      <c r="AR535" t="s">
        <v>1760</v>
      </c>
      <c r="AS535" t="s">
        <v>1761</v>
      </c>
      <c r="AT535" t="s">
        <v>7250</v>
      </c>
      <c r="AU535">
        <v>2004</v>
      </c>
      <c r="AV535">
        <v>145</v>
      </c>
      <c r="AW535">
        <v>2</v>
      </c>
      <c r="AX535" t="s">
        <v>74</v>
      </c>
      <c r="AY535" t="s">
        <v>74</v>
      </c>
      <c r="AZ535" t="s">
        <v>74</v>
      </c>
      <c r="BA535" t="s">
        <v>74</v>
      </c>
      <c r="BB535">
        <v>277</v>
      </c>
      <c r="BC535">
        <v>292</v>
      </c>
      <c r="BD535" t="s">
        <v>74</v>
      </c>
      <c r="BE535" t="s">
        <v>7956</v>
      </c>
      <c r="BF535" t="str">
        <f>HYPERLINK("http://dx.doi.org/10.1007/s00227-004-1310-1","http://dx.doi.org/10.1007/s00227-004-1310-1")</f>
        <v>http://dx.doi.org/10.1007/s00227-004-1310-1</v>
      </c>
      <c r="BG535" t="s">
        <v>74</v>
      </c>
      <c r="BH535" t="s">
        <v>74</v>
      </c>
      <c r="BI535">
        <v>16</v>
      </c>
      <c r="BJ535" t="s">
        <v>1763</v>
      </c>
      <c r="BK535" t="s">
        <v>139</v>
      </c>
      <c r="BL535" t="s">
        <v>1763</v>
      </c>
      <c r="BM535" t="s">
        <v>7957</v>
      </c>
      <c r="BN535" t="s">
        <v>74</v>
      </c>
      <c r="BO535" t="s">
        <v>74</v>
      </c>
      <c r="BP535" t="s">
        <v>74</v>
      </c>
      <c r="BQ535" t="s">
        <v>74</v>
      </c>
      <c r="BR535" t="s">
        <v>98</v>
      </c>
      <c r="BS535" t="s">
        <v>7958</v>
      </c>
      <c r="BT535" t="str">
        <f>HYPERLINK("https%3A%2F%2Fwww.webofscience.com%2Fwos%2Fwoscc%2Ffull-record%2FWOS:000223098200008","View Full Record in Web of Science")</f>
        <v>View Full Record in Web of Science</v>
      </c>
    </row>
    <row r="536" spans="1:72" x14ac:dyDescent="0.15">
      <c r="A536" t="s">
        <v>122</v>
      </c>
      <c r="B536" t="s">
        <v>7959</v>
      </c>
      <c r="C536" t="s">
        <v>74</v>
      </c>
      <c r="D536" t="s">
        <v>74</v>
      </c>
      <c r="E536" t="s">
        <v>74</v>
      </c>
      <c r="F536" t="s">
        <v>7959</v>
      </c>
      <c r="G536" t="s">
        <v>74</v>
      </c>
      <c r="H536" t="s">
        <v>74</v>
      </c>
      <c r="I536" t="s">
        <v>7960</v>
      </c>
      <c r="J536" t="s">
        <v>1751</v>
      </c>
      <c r="K536" t="s">
        <v>74</v>
      </c>
      <c r="L536" t="s">
        <v>74</v>
      </c>
      <c r="M536" t="s">
        <v>79</v>
      </c>
      <c r="N536" t="s">
        <v>126</v>
      </c>
      <c r="O536" t="s">
        <v>74</v>
      </c>
      <c r="P536" t="s">
        <v>74</v>
      </c>
      <c r="Q536" t="s">
        <v>74</v>
      </c>
      <c r="R536" t="s">
        <v>74</v>
      </c>
      <c r="S536" t="s">
        <v>74</v>
      </c>
      <c r="T536" t="s">
        <v>74</v>
      </c>
      <c r="U536" t="s">
        <v>7961</v>
      </c>
      <c r="V536" t="s">
        <v>7962</v>
      </c>
      <c r="W536" t="s">
        <v>7963</v>
      </c>
      <c r="X536" t="s">
        <v>7964</v>
      </c>
      <c r="Y536" t="s">
        <v>7965</v>
      </c>
      <c r="Z536" t="s">
        <v>7966</v>
      </c>
      <c r="AA536" t="s">
        <v>74</v>
      </c>
      <c r="AB536" t="s">
        <v>74</v>
      </c>
      <c r="AC536" t="s">
        <v>74</v>
      </c>
      <c r="AD536" t="s">
        <v>74</v>
      </c>
      <c r="AE536" t="s">
        <v>74</v>
      </c>
      <c r="AF536" t="s">
        <v>74</v>
      </c>
      <c r="AG536">
        <v>64</v>
      </c>
      <c r="AH536">
        <v>13</v>
      </c>
      <c r="AI536">
        <v>13</v>
      </c>
      <c r="AJ536">
        <v>1</v>
      </c>
      <c r="AK536">
        <v>8</v>
      </c>
      <c r="AL536" t="s">
        <v>1755</v>
      </c>
      <c r="AM536" t="s">
        <v>1756</v>
      </c>
      <c r="AN536" t="s">
        <v>1757</v>
      </c>
      <c r="AO536" t="s">
        <v>1758</v>
      </c>
      <c r="AP536" t="s">
        <v>1759</v>
      </c>
      <c r="AQ536" t="s">
        <v>74</v>
      </c>
      <c r="AR536" t="s">
        <v>1760</v>
      </c>
      <c r="AS536" t="s">
        <v>1761</v>
      </c>
      <c r="AT536" t="s">
        <v>7250</v>
      </c>
      <c r="AU536">
        <v>2004</v>
      </c>
      <c r="AV536">
        <v>145</v>
      </c>
      <c r="AW536">
        <v>2</v>
      </c>
      <c r="AX536" t="s">
        <v>74</v>
      </c>
      <c r="AY536" t="s">
        <v>74</v>
      </c>
      <c r="AZ536" t="s">
        <v>74</v>
      </c>
      <c r="BA536" t="s">
        <v>74</v>
      </c>
      <c r="BB536">
        <v>293</v>
      </c>
      <c r="BC536">
        <v>302</v>
      </c>
      <c r="BD536" t="s">
        <v>74</v>
      </c>
      <c r="BE536" t="s">
        <v>7967</v>
      </c>
      <c r="BF536" t="str">
        <f>HYPERLINK("http://dx.doi.org/10.1007/s00227-004-1311-0","http://dx.doi.org/10.1007/s00227-004-1311-0")</f>
        <v>http://dx.doi.org/10.1007/s00227-004-1311-0</v>
      </c>
      <c r="BG536" t="s">
        <v>74</v>
      </c>
      <c r="BH536" t="s">
        <v>74</v>
      </c>
      <c r="BI536">
        <v>10</v>
      </c>
      <c r="BJ536" t="s">
        <v>1763</v>
      </c>
      <c r="BK536" t="s">
        <v>139</v>
      </c>
      <c r="BL536" t="s">
        <v>1763</v>
      </c>
      <c r="BM536" t="s">
        <v>7957</v>
      </c>
      <c r="BN536" t="s">
        <v>74</v>
      </c>
      <c r="BO536" t="s">
        <v>74</v>
      </c>
      <c r="BP536" t="s">
        <v>74</v>
      </c>
      <c r="BQ536" t="s">
        <v>74</v>
      </c>
      <c r="BR536" t="s">
        <v>98</v>
      </c>
      <c r="BS536" t="s">
        <v>7968</v>
      </c>
      <c r="BT536" t="str">
        <f>HYPERLINK("https%3A%2F%2Fwww.webofscience.com%2Fwos%2Fwoscc%2Ffull-record%2FWOS:000223098200009","View Full Record in Web of Science")</f>
        <v>View Full Record in Web of Science</v>
      </c>
    </row>
    <row r="537" spans="1:72" x14ac:dyDescent="0.15">
      <c r="A537" t="s">
        <v>122</v>
      </c>
      <c r="B537" t="s">
        <v>7969</v>
      </c>
      <c r="C537" t="s">
        <v>74</v>
      </c>
      <c r="D537" t="s">
        <v>74</v>
      </c>
      <c r="E537" t="s">
        <v>74</v>
      </c>
      <c r="F537" t="s">
        <v>7969</v>
      </c>
      <c r="G537" t="s">
        <v>74</v>
      </c>
      <c r="H537" t="s">
        <v>74</v>
      </c>
      <c r="I537" t="s">
        <v>7970</v>
      </c>
      <c r="J537" t="s">
        <v>1751</v>
      </c>
      <c r="K537" t="s">
        <v>74</v>
      </c>
      <c r="L537" t="s">
        <v>74</v>
      </c>
      <c r="M537" t="s">
        <v>79</v>
      </c>
      <c r="N537" t="s">
        <v>126</v>
      </c>
      <c r="O537" t="s">
        <v>74</v>
      </c>
      <c r="P537" t="s">
        <v>74</v>
      </c>
      <c r="Q537" t="s">
        <v>74</v>
      </c>
      <c r="R537" t="s">
        <v>74</v>
      </c>
      <c r="S537" t="s">
        <v>74</v>
      </c>
      <c r="T537" t="s">
        <v>74</v>
      </c>
      <c r="U537" t="s">
        <v>7971</v>
      </c>
      <c r="V537" t="s">
        <v>7972</v>
      </c>
      <c r="W537" t="s">
        <v>7973</v>
      </c>
      <c r="X537" t="s">
        <v>7974</v>
      </c>
      <c r="Y537" t="s">
        <v>7975</v>
      </c>
      <c r="Z537" t="s">
        <v>7976</v>
      </c>
      <c r="AA537" t="s">
        <v>74</v>
      </c>
      <c r="AB537" t="s">
        <v>74</v>
      </c>
      <c r="AC537" t="s">
        <v>74</v>
      </c>
      <c r="AD537" t="s">
        <v>74</v>
      </c>
      <c r="AE537" t="s">
        <v>74</v>
      </c>
      <c r="AF537" t="s">
        <v>74</v>
      </c>
      <c r="AG537">
        <v>70</v>
      </c>
      <c r="AH537">
        <v>11</v>
      </c>
      <c r="AI537">
        <v>11</v>
      </c>
      <c r="AJ537">
        <v>0</v>
      </c>
      <c r="AK537">
        <v>10</v>
      </c>
      <c r="AL537" t="s">
        <v>1509</v>
      </c>
      <c r="AM537" t="s">
        <v>613</v>
      </c>
      <c r="AN537" t="s">
        <v>1948</v>
      </c>
      <c r="AO537" t="s">
        <v>1758</v>
      </c>
      <c r="AP537" t="s">
        <v>74</v>
      </c>
      <c r="AQ537" t="s">
        <v>74</v>
      </c>
      <c r="AR537" t="s">
        <v>1760</v>
      </c>
      <c r="AS537" t="s">
        <v>1761</v>
      </c>
      <c r="AT537" t="s">
        <v>7250</v>
      </c>
      <c r="AU537">
        <v>2004</v>
      </c>
      <c r="AV537">
        <v>145</v>
      </c>
      <c r="AW537">
        <v>2</v>
      </c>
      <c r="AX537" t="s">
        <v>74</v>
      </c>
      <c r="AY537" t="s">
        <v>74</v>
      </c>
      <c r="AZ537" t="s">
        <v>74</v>
      </c>
      <c r="BA537" t="s">
        <v>74</v>
      </c>
      <c r="BB537">
        <v>361</v>
      </c>
      <c r="BC537">
        <v>372</v>
      </c>
      <c r="BD537" t="s">
        <v>74</v>
      </c>
      <c r="BE537" t="s">
        <v>7977</v>
      </c>
      <c r="BF537" t="str">
        <f>HYPERLINK("http://dx.doi.org/10.1007/s00227-004-1320-z","http://dx.doi.org/10.1007/s00227-004-1320-z")</f>
        <v>http://dx.doi.org/10.1007/s00227-004-1320-z</v>
      </c>
      <c r="BG537" t="s">
        <v>74</v>
      </c>
      <c r="BH537" t="s">
        <v>74</v>
      </c>
      <c r="BI537">
        <v>12</v>
      </c>
      <c r="BJ537" t="s">
        <v>1763</v>
      </c>
      <c r="BK537" t="s">
        <v>139</v>
      </c>
      <c r="BL537" t="s">
        <v>1763</v>
      </c>
      <c r="BM537" t="s">
        <v>7957</v>
      </c>
      <c r="BN537" t="s">
        <v>74</v>
      </c>
      <c r="BO537" t="s">
        <v>74</v>
      </c>
      <c r="BP537" t="s">
        <v>74</v>
      </c>
      <c r="BQ537" t="s">
        <v>74</v>
      </c>
      <c r="BR537" t="s">
        <v>98</v>
      </c>
      <c r="BS537" t="s">
        <v>7978</v>
      </c>
      <c r="BT537" t="str">
        <f>HYPERLINK("https%3A%2F%2Fwww.webofscience.com%2Fwos%2Fwoscc%2Ffull-record%2FWOS:000223098200016","View Full Record in Web of Science")</f>
        <v>View Full Record in Web of Science</v>
      </c>
    </row>
    <row r="538" spans="1:72" x14ac:dyDescent="0.15">
      <c r="A538" t="s">
        <v>122</v>
      </c>
      <c r="B538" t="s">
        <v>7979</v>
      </c>
      <c r="C538" t="s">
        <v>74</v>
      </c>
      <c r="D538" t="s">
        <v>74</v>
      </c>
      <c r="E538" t="s">
        <v>74</v>
      </c>
      <c r="F538" t="s">
        <v>7979</v>
      </c>
      <c r="G538" t="s">
        <v>74</v>
      </c>
      <c r="H538" t="s">
        <v>74</v>
      </c>
      <c r="I538" t="s">
        <v>7980</v>
      </c>
      <c r="J538" t="s">
        <v>7981</v>
      </c>
      <c r="K538" t="s">
        <v>74</v>
      </c>
      <c r="L538" t="s">
        <v>74</v>
      </c>
      <c r="M538" t="s">
        <v>79</v>
      </c>
      <c r="N538" t="s">
        <v>1129</v>
      </c>
      <c r="O538" t="s">
        <v>7982</v>
      </c>
      <c r="P538" t="s">
        <v>7983</v>
      </c>
      <c r="Q538" t="s">
        <v>7984</v>
      </c>
      <c r="R538" t="s">
        <v>74</v>
      </c>
      <c r="S538" t="s">
        <v>74</v>
      </c>
      <c r="T538" t="s">
        <v>7985</v>
      </c>
      <c r="U538" t="s">
        <v>7986</v>
      </c>
      <c r="V538" t="s">
        <v>7987</v>
      </c>
      <c r="W538" t="s">
        <v>7988</v>
      </c>
      <c r="X538" t="s">
        <v>7989</v>
      </c>
      <c r="Y538" t="s">
        <v>7990</v>
      </c>
      <c r="Z538" t="s">
        <v>7991</v>
      </c>
      <c r="AA538" t="s">
        <v>7992</v>
      </c>
      <c r="AB538" t="s">
        <v>7993</v>
      </c>
      <c r="AC538" t="s">
        <v>74</v>
      </c>
      <c r="AD538" t="s">
        <v>74</v>
      </c>
      <c r="AE538" t="s">
        <v>74</v>
      </c>
      <c r="AF538" t="s">
        <v>74</v>
      </c>
      <c r="AG538">
        <v>20</v>
      </c>
      <c r="AH538">
        <v>19</v>
      </c>
      <c r="AI538">
        <v>20</v>
      </c>
      <c r="AJ538">
        <v>0</v>
      </c>
      <c r="AK538">
        <v>4</v>
      </c>
      <c r="AL538" t="s">
        <v>3797</v>
      </c>
      <c r="AM538" t="s">
        <v>197</v>
      </c>
      <c r="AN538" t="s">
        <v>3798</v>
      </c>
      <c r="AO538" t="s">
        <v>7994</v>
      </c>
      <c r="AP538" t="s">
        <v>7995</v>
      </c>
      <c r="AQ538" t="s">
        <v>74</v>
      </c>
      <c r="AR538" t="s">
        <v>7996</v>
      </c>
      <c r="AS538" t="s">
        <v>7997</v>
      </c>
      <c r="AT538" t="s">
        <v>7998</v>
      </c>
      <c r="AU538">
        <v>2004</v>
      </c>
      <c r="AV538">
        <v>58</v>
      </c>
      <c r="AW538" t="s">
        <v>7999</v>
      </c>
      <c r="AX538" t="s">
        <v>74</v>
      </c>
      <c r="AY538" t="s">
        <v>74</v>
      </c>
      <c r="AZ538" t="s">
        <v>74</v>
      </c>
      <c r="BA538" t="s">
        <v>74</v>
      </c>
      <c r="BB538">
        <v>401</v>
      </c>
      <c r="BC538">
        <v>406</v>
      </c>
      <c r="BD538" t="s">
        <v>74</v>
      </c>
      <c r="BE538" t="s">
        <v>8000</v>
      </c>
      <c r="BF538" t="str">
        <f>HYPERLINK("http://dx.doi.org/10.1016/j.marenvres.2004.03.086","http://dx.doi.org/10.1016/j.marenvres.2004.03.086")</f>
        <v>http://dx.doi.org/10.1016/j.marenvres.2004.03.086</v>
      </c>
      <c r="BG538" t="s">
        <v>74</v>
      </c>
      <c r="BH538" t="s">
        <v>74</v>
      </c>
      <c r="BI538">
        <v>6</v>
      </c>
      <c r="BJ538" t="s">
        <v>8001</v>
      </c>
      <c r="BK538" t="s">
        <v>1257</v>
      </c>
      <c r="BL538" t="s">
        <v>8002</v>
      </c>
      <c r="BM538" t="s">
        <v>8003</v>
      </c>
      <c r="BN538">
        <v>15178060</v>
      </c>
      <c r="BO538" t="s">
        <v>74</v>
      </c>
      <c r="BP538" t="s">
        <v>74</v>
      </c>
      <c r="BQ538" t="s">
        <v>74</v>
      </c>
      <c r="BR538" t="s">
        <v>98</v>
      </c>
      <c r="BS538" t="s">
        <v>8004</v>
      </c>
      <c r="BT538" t="str">
        <f>HYPERLINK("https%3A%2F%2Fwww.webofscience.com%2Fwos%2Fwoscc%2Ffull-record%2FWOS:000222199100044","View Full Record in Web of Science")</f>
        <v>View Full Record in Web of Science</v>
      </c>
    </row>
    <row r="539" spans="1:72" x14ac:dyDescent="0.15">
      <c r="A539" t="s">
        <v>122</v>
      </c>
      <c r="B539" t="s">
        <v>8005</v>
      </c>
      <c r="C539" t="s">
        <v>74</v>
      </c>
      <c r="D539" t="s">
        <v>74</v>
      </c>
      <c r="E539" t="s">
        <v>74</v>
      </c>
      <c r="F539" t="s">
        <v>8005</v>
      </c>
      <c r="G539" t="s">
        <v>74</v>
      </c>
      <c r="H539" t="s">
        <v>74</v>
      </c>
      <c r="I539" t="s">
        <v>8006</v>
      </c>
      <c r="J539" t="s">
        <v>7981</v>
      </c>
      <c r="K539" t="s">
        <v>74</v>
      </c>
      <c r="L539" t="s">
        <v>74</v>
      </c>
      <c r="M539" t="s">
        <v>79</v>
      </c>
      <c r="N539" t="s">
        <v>1129</v>
      </c>
      <c r="O539" t="s">
        <v>7982</v>
      </c>
      <c r="P539" t="s">
        <v>7983</v>
      </c>
      <c r="Q539" t="s">
        <v>7984</v>
      </c>
      <c r="R539" t="s">
        <v>74</v>
      </c>
      <c r="S539" t="s">
        <v>74</v>
      </c>
      <c r="T539" t="s">
        <v>8007</v>
      </c>
      <c r="U539" t="s">
        <v>74</v>
      </c>
      <c r="V539" t="s">
        <v>8008</v>
      </c>
      <c r="W539" t="s">
        <v>8009</v>
      </c>
      <c r="X539" t="s">
        <v>8010</v>
      </c>
      <c r="Y539" t="s">
        <v>8011</v>
      </c>
      <c r="Z539" t="s">
        <v>8012</v>
      </c>
      <c r="AA539" t="s">
        <v>8013</v>
      </c>
      <c r="AB539" t="s">
        <v>8014</v>
      </c>
      <c r="AC539" t="s">
        <v>74</v>
      </c>
      <c r="AD539" t="s">
        <v>74</v>
      </c>
      <c r="AE539" t="s">
        <v>74</v>
      </c>
      <c r="AF539" t="s">
        <v>74</v>
      </c>
      <c r="AG539">
        <v>10</v>
      </c>
      <c r="AH539">
        <v>21</v>
      </c>
      <c r="AI539">
        <v>23</v>
      </c>
      <c r="AJ539">
        <v>0</v>
      </c>
      <c r="AK539">
        <v>7</v>
      </c>
      <c r="AL539" t="s">
        <v>3797</v>
      </c>
      <c r="AM539" t="s">
        <v>197</v>
      </c>
      <c r="AN539" t="s">
        <v>3798</v>
      </c>
      <c r="AO539" t="s">
        <v>7994</v>
      </c>
      <c r="AP539" t="s">
        <v>7995</v>
      </c>
      <c r="AQ539" t="s">
        <v>74</v>
      </c>
      <c r="AR539" t="s">
        <v>7996</v>
      </c>
      <c r="AS539" t="s">
        <v>7997</v>
      </c>
      <c r="AT539" t="s">
        <v>7998</v>
      </c>
      <c r="AU539">
        <v>2004</v>
      </c>
      <c r="AV539">
        <v>58</v>
      </c>
      <c r="AW539" t="s">
        <v>7999</v>
      </c>
      <c r="AX539" t="s">
        <v>74</v>
      </c>
      <c r="AY539" t="s">
        <v>74</v>
      </c>
      <c r="AZ539" t="s">
        <v>74</v>
      </c>
      <c r="BA539" t="s">
        <v>74</v>
      </c>
      <c r="BB539">
        <v>637</v>
      </c>
      <c r="BC539">
        <v>640</v>
      </c>
      <c r="BD539" t="s">
        <v>74</v>
      </c>
      <c r="BE539" t="s">
        <v>8015</v>
      </c>
      <c r="BF539" t="str">
        <f>HYPERLINK("http://dx.doi.org/10.1016/j.marenvres.2004.03.055","http://dx.doi.org/10.1016/j.marenvres.2004.03.055")</f>
        <v>http://dx.doi.org/10.1016/j.marenvres.2004.03.055</v>
      </c>
      <c r="BG539" t="s">
        <v>74</v>
      </c>
      <c r="BH539" t="s">
        <v>74</v>
      </c>
      <c r="BI539">
        <v>4</v>
      </c>
      <c r="BJ539" t="s">
        <v>8001</v>
      </c>
      <c r="BK539" t="s">
        <v>1257</v>
      </c>
      <c r="BL539" t="s">
        <v>8002</v>
      </c>
      <c r="BM539" t="s">
        <v>8003</v>
      </c>
      <c r="BN539">
        <v>15178092</v>
      </c>
      <c r="BO539" t="s">
        <v>74</v>
      </c>
      <c r="BP539" t="s">
        <v>74</v>
      </c>
      <c r="BQ539" t="s">
        <v>74</v>
      </c>
      <c r="BR539" t="s">
        <v>98</v>
      </c>
      <c r="BS539" t="s">
        <v>8016</v>
      </c>
      <c r="BT539" t="str">
        <f>HYPERLINK("https%3A%2F%2Fwww.webofscience.com%2Fwos%2Fwoscc%2Ffull-record%2FWOS:000222199100076","View Full Record in Web of Science")</f>
        <v>View Full Record in Web of Science</v>
      </c>
    </row>
    <row r="540" spans="1:72" x14ac:dyDescent="0.15">
      <c r="A540" t="s">
        <v>122</v>
      </c>
      <c r="B540" t="s">
        <v>8017</v>
      </c>
      <c r="C540" t="s">
        <v>74</v>
      </c>
      <c r="D540" t="s">
        <v>74</v>
      </c>
      <c r="E540" t="s">
        <v>74</v>
      </c>
      <c r="F540" t="s">
        <v>8017</v>
      </c>
      <c r="G540" t="s">
        <v>74</v>
      </c>
      <c r="H540" t="s">
        <v>74</v>
      </c>
      <c r="I540" t="s">
        <v>8018</v>
      </c>
      <c r="J540" t="s">
        <v>4846</v>
      </c>
      <c r="K540" t="s">
        <v>74</v>
      </c>
      <c r="L540" t="s">
        <v>74</v>
      </c>
      <c r="M540" t="s">
        <v>79</v>
      </c>
      <c r="N540" t="s">
        <v>1129</v>
      </c>
      <c r="O540" t="s">
        <v>8019</v>
      </c>
      <c r="P540" t="s">
        <v>8020</v>
      </c>
      <c r="Q540" t="s">
        <v>8021</v>
      </c>
      <c r="R540" t="s">
        <v>74</v>
      </c>
      <c r="S540" t="s">
        <v>74</v>
      </c>
      <c r="T540" t="s">
        <v>8022</v>
      </c>
      <c r="U540" t="s">
        <v>8023</v>
      </c>
      <c r="V540" t="s">
        <v>8024</v>
      </c>
      <c r="W540" t="s">
        <v>8025</v>
      </c>
      <c r="X540" t="s">
        <v>8026</v>
      </c>
      <c r="Y540" t="s">
        <v>8027</v>
      </c>
      <c r="Z540" t="s">
        <v>8028</v>
      </c>
      <c r="AA540" t="s">
        <v>74</v>
      </c>
      <c r="AB540" t="s">
        <v>74</v>
      </c>
      <c r="AC540" t="s">
        <v>74</v>
      </c>
      <c r="AD540" t="s">
        <v>74</v>
      </c>
      <c r="AE540" t="s">
        <v>74</v>
      </c>
      <c r="AF540" t="s">
        <v>74</v>
      </c>
      <c r="AG540">
        <v>36</v>
      </c>
      <c r="AH540">
        <v>23</v>
      </c>
      <c r="AI540">
        <v>27</v>
      </c>
      <c r="AJ540">
        <v>1</v>
      </c>
      <c r="AK540">
        <v>11</v>
      </c>
      <c r="AL540" t="s">
        <v>562</v>
      </c>
      <c r="AM540" t="s">
        <v>532</v>
      </c>
      <c r="AN540" t="s">
        <v>563</v>
      </c>
      <c r="AO540" t="s">
        <v>4854</v>
      </c>
      <c r="AP540" t="s">
        <v>74</v>
      </c>
      <c r="AQ540" t="s">
        <v>74</v>
      </c>
      <c r="AR540" t="s">
        <v>4856</v>
      </c>
      <c r="AS540" t="s">
        <v>4857</v>
      </c>
      <c r="AT540" t="s">
        <v>7250</v>
      </c>
      <c r="AU540">
        <v>2004</v>
      </c>
      <c r="AV540">
        <v>52</v>
      </c>
      <c r="AW540" t="s">
        <v>595</v>
      </c>
      <c r="AX540" t="s">
        <v>74</v>
      </c>
      <c r="AY540" t="s">
        <v>74</v>
      </c>
      <c r="AZ540" t="s">
        <v>74</v>
      </c>
      <c r="BA540" t="s">
        <v>74</v>
      </c>
      <c r="BB540">
        <v>133</v>
      </c>
      <c r="BC540">
        <v>152</v>
      </c>
      <c r="BD540" t="s">
        <v>74</v>
      </c>
      <c r="BE540" t="s">
        <v>8029</v>
      </c>
      <c r="BF540" t="str">
        <f>HYPERLINK("http://dx.doi.org/10.1016/j.marmicro.2004.04.008","http://dx.doi.org/10.1016/j.marmicro.2004.04.008")</f>
        <v>http://dx.doi.org/10.1016/j.marmicro.2004.04.008</v>
      </c>
      <c r="BG540" t="s">
        <v>74</v>
      </c>
      <c r="BH540" t="s">
        <v>74</v>
      </c>
      <c r="BI540">
        <v>20</v>
      </c>
      <c r="BJ540" t="s">
        <v>4627</v>
      </c>
      <c r="BK540" t="s">
        <v>1150</v>
      </c>
      <c r="BL540" t="s">
        <v>4627</v>
      </c>
      <c r="BM540" t="s">
        <v>8030</v>
      </c>
      <c r="BN540" t="s">
        <v>74</v>
      </c>
      <c r="BO540" t="s">
        <v>74</v>
      </c>
      <c r="BP540" t="s">
        <v>74</v>
      </c>
      <c r="BQ540" t="s">
        <v>74</v>
      </c>
      <c r="BR540" t="s">
        <v>98</v>
      </c>
      <c r="BS540" t="s">
        <v>8031</v>
      </c>
      <c r="BT540" t="str">
        <f>HYPERLINK("https%3A%2F%2Fwww.webofscience.com%2Fwos%2Fwoscc%2Ffull-record%2FWOS:000223677000008","View Full Record in Web of Science")</f>
        <v>View Full Record in Web of Science</v>
      </c>
    </row>
    <row r="541" spans="1:72" x14ac:dyDescent="0.15">
      <c r="A541" t="s">
        <v>122</v>
      </c>
      <c r="B541" t="s">
        <v>8032</v>
      </c>
      <c r="C541" t="s">
        <v>74</v>
      </c>
      <c r="D541" t="s">
        <v>74</v>
      </c>
      <c r="E541" t="s">
        <v>74</v>
      </c>
      <c r="F541" t="s">
        <v>8032</v>
      </c>
      <c r="G541" t="s">
        <v>74</v>
      </c>
      <c r="H541" t="s">
        <v>74</v>
      </c>
      <c r="I541" t="s">
        <v>8033</v>
      </c>
      <c r="J541" t="s">
        <v>4846</v>
      </c>
      <c r="K541" t="s">
        <v>74</v>
      </c>
      <c r="L541" t="s">
        <v>74</v>
      </c>
      <c r="M541" t="s">
        <v>79</v>
      </c>
      <c r="N541" t="s">
        <v>1129</v>
      </c>
      <c r="O541" t="s">
        <v>8019</v>
      </c>
      <c r="P541" t="s">
        <v>8020</v>
      </c>
      <c r="Q541" t="s">
        <v>8021</v>
      </c>
      <c r="R541" t="s">
        <v>74</v>
      </c>
      <c r="S541" t="s">
        <v>74</v>
      </c>
      <c r="T541" t="s">
        <v>8034</v>
      </c>
      <c r="U541" t="s">
        <v>8035</v>
      </c>
      <c r="V541" t="s">
        <v>8036</v>
      </c>
      <c r="W541" t="s">
        <v>8037</v>
      </c>
      <c r="X541" t="s">
        <v>8038</v>
      </c>
      <c r="Y541" t="s">
        <v>8039</v>
      </c>
      <c r="Z541" t="s">
        <v>8040</v>
      </c>
      <c r="AA541" t="s">
        <v>74</v>
      </c>
      <c r="AB541" t="s">
        <v>8041</v>
      </c>
      <c r="AC541" t="s">
        <v>74</v>
      </c>
      <c r="AD541" t="s">
        <v>74</v>
      </c>
      <c r="AE541" t="s">
        <v>74</v>
      </c>
      <c r="AF541" t="s">
        <v>74</v>
      </c>
      <c r="AG541">
        <v>62</v>
      </c>
      <c r="AH541">
        <v>82</v>
      </c>
      <c r="AI541">
        <v>96</v>
      </c>
      <c r="AJ541">
        <v>0</v>
      </c>
      <c r="AK541">
        <v>19</v>
      </c>
      <c r="AL541" t="s">
        <v>531</v>
      </c>
      <c r="AM541" t="s">
        <v>532</v>
      </c>
      <c r="AN541" t="s">
        <v>533</v>
      </c>
      <c r="AO541" t="s">
        <v>4854</v>
      </c>
      <c r="AP541" t="s">
        <v>4855</v>
      </c>
      <c r="AQ541" t="s">
        <v>74</v>
      </c>
      <c r="AR541" t="s">
        <v>4856</v>
      </c>
      <c r="AS541" t="s">
        <v>4857</v>
      </c>
      <c r="AT541" t="s">
        <v>7250</v>
      </c>
      <c r="AU541">
        <v>2004</v>
      </c>
      <c r="AV541">
        <v>52</v>
      </c>
      <c r="AW541" t="s">
        <v>595</v>
      </c>
      <c r="AX541" t="s">
        <v>74</v>
      </c>
      <c r="AY541" t="s">
        <v>74</v>
      </c>
      <c r="AZ541" t="s">
        <v>74</v>
      </c>
      <c r="BA541" t="s">
        <v>74</v>
      </c>
      <c r="BB541">
        <v>153</v>
      </c>
      <c r="BC541">
        <v>179</v>
      </c>
      <c r="BD541" t="s">
        <v>74</v>
      </c>
      <c r="BE541" t="s">
        <v>8042</v>
      </c>
      <c r="BF541" t="str">
        <f>HYPERLINK("http://dx.doi.org/10.1016/j.marmicro.2004.05.002","http://dx.doi.org/10.1016/j.marmicro.2004.05.002")</f>
        <v>http://dx.doi.org/10.1016/j.marmicro.2004.05.002</v>
      </c>
      <c r="BG541" t="s">
        <v>74</v>
      </c>
      <c r="BH541" t="s">
        <v>74</v>
      </c>
      <c r="BI541">
        <v>27</v>
      </c>
      <c r="BJ541" t="s">
        <v>4627</v>
      </c>
      <c r="BK541" t="s">
        <v>1257</v>
      </c>
      <c r="BL541" t="s">
        <v>4627</v>
      </c>
      <c r="BM541" t="s">
        <v>8030</v>
      </c>
      <c r="BN541" t="s">
        <v>74</v>
      </c>
      <c r="BO541" t="s">
        <v>74</v>
      </c>
      <c r="BP541" t="s">
        <v>74</v>
      </c>
      <c r="BQ541" t="s">
        <v>74</v>
      </c>
      <c r="BR541" t="s">
        <v>98</v>
      </c>
      <c r="BS541" t="s">
        <v>8043</v>
      </c>
      <c r="BT541" t="str">
        <f>HYPERLINK("https%3A%2F%2Fwww.webofscience.com%2Fwos%2Fwoscc%2Ffull-record%2FWOS:000223677000009","View Full Record in Web of Science")</f>
        <v>View Full Record in Web of Science</v>
      </c>
    </row>
    <row r="542" spans="1:72" x14ac:dyDescent="0.15">
      <c r="A542" t="s">
        <v>122</v>
      </c>
      <c r="B542" t="s">
        <v>8044</v>
      </c>
      <c r="C542" t="s">
        <v>74</v>
      </c>
      <c r="D542" t="s">
        <v>74</v>
      </c>
      <c r="E542" t="s">
        <v>74</v>
      </c>
      <c r="F542" t="s">
        <v>8044</v>
      </c>
      <c r="G542" t="s">
        <v>74</v>
      </c>
      <c r="H542" t="s">
        <v>74</v>
      </c>
      <c r="I542" t="s">
        <v>8045</v>
      </c>
      <c r="J542" t="s">
        <v>3532</v>
      </c>
      <c r="K542" t="s">
        <v>74</v>
      </c>
      <c r="L542" t="s">
        <v>74</v>
      </c>
      <c r="M542" t="s">
        <v>79</v>
      </c>
      <c r="N542" t="s">
        <v>52</v>
      </c>
      <c r="O542" t="s">
        <v>8046</v>
      </c>
      <c r="P542" t="s">
        <v>8047</v>
      </c>
      <c r="Q542" t="s">
        <v>8048</v>
      </c>
      <c r="R542" t="s">
        <v>74</v>
      </c>
      <c r="S542" t="s">
        <v>74</v>
      </c>
      <c r="T542" t="s">
        <v>74</v>
      </c>
      <c r="U542" t="s">
        <v>8049</v>
      </c>
      <c r="V542" t="s">
        <v>74</v>
      </c>
      <c r="W542" t="s">
        <v>8050</v>
      </c>
      <c r="X542" t="s">
        <v>8051</v>
      </c>
      <c r="Y542" t="s">
        <v>74</v>
      </c>
      <c r="Z542" t="s">
        <v>8052</v>
      </c>
      <c r="AA542" t="s">
        <v>8053</v>
      </c>
      <c r="AB542" t="s">
        <v>8054</v>
      </c>
      <c r="AC542" t="s">
        <v>74</v>
      </c>
      <c r="AD542" t="s">
        <v>74</v>
      </c>
      <c r="AE542" t="s">
        <v>74</v>
      </c>
      <c r="AF542" t="s">
        <v>74</v>
      </c>
      <c r="AG542">
        <v>6</v>
      </c>
      <c r="AH542">
        <v>0</v>
      </c>
      <c r="AI542">
        <v>0</v>
      </c>
      <c r="AJ542">
        <v>0</v>
      </c>
      <c r="AK542">
        <v>1</v>
      </c>
      <c r="AL542" t="s">
        <v>3540</v>
      </c>
      <c r="AM542" t="s">
        <v>3541</v>
      </c>
      <c r="AN542" t="s">
        <v>3542</v>
      </c>
      <c r="AO542" t="s">
        <v>3543</v>
      </c>
      <c r="AP542" t="s">
        <v>74</v>
      </c>
      <c r="AQ542" t="s">
        <v>74</v>
      </c>
      <c r="AR542" t="s">
        <v>3544</v>
      </c>
      <c r="AS542" t="s">
        <v>3545</v>
      </c>
      <c r="AT542" t="s">
        <v>7250</v>
      </c>
      <c r="AU542">
        <v>2004</v>
      </c>
      <c r="AV542">
        <v>39</v>
      </c>
      <c r="AW542">
        <v>8</v>
      </c>
      <c r="AX542" t="s">
        <v>74</v>
      </c>
      <c r="AY542" t="s">
        <v>8055</v>
      </c>
      <c r="AZ542" t="s">
        <v>74</v>
      </c>
      <c r="BA542" t="s">
        <v>74</v>
      </c>
      <c r="BB542" t="s">
        <v>8056</v>
      </c>
      <c r="BC542" t="s">
        <v>8056</v>
      </c>
      <c r="BD542" t="s">
        <v>74</v>
      </c>
      <c r="BE542" t="s">
        <v>74</v>
      </c>
      <c r="BF542" t="s">
        <v>74</v>
      </c>
      <c r="BG542" t="s">
        <v>74</v>
      </c>
      <c r="BH542" t="s">
        <v>74</v>
      </c>
      <c r="BI542">
        <v>1</v>
      </c>
      <c r="BJ542" t="s">
        <v>271</v>
      </c>
      <c r="BK542" t="s">
        <v>1150</v>
      </c>
      <c r="BL542" t="s">
        <v>271</v>
      </c>
      <c r="BM542" t="s">
        <v>8057</v>
      </c>
      <c r="BN542" t="s">
        <v>74</v>
      </c>
      <c r="BO542" t="s">
        <v>74</v>
      </c>
      <c r="BP542" t="s">
        <v>74</v>
      </c>
      <c r="BQ542" t="s">
        <v>74</v>
      </c>
      <c r="BR542" t="s">
        <v>98</v>
      </c>
      <c r="BS542" t="s">
        <v>8058</v>
      </c>
      <c r="BT542" t="str">
        <f>HYPERLINK("https%3A%2F%2Fwww.webofscience.com%2Fwos%2Fwoscc%2Ffull-record%2FWOS:000222990600145","View Full Record in Web of Science")</f>
        <v>View Full Record in Web of Science</v>
      </c>
    </row>
    <row r="543" spans="1:72" x14ac:dyDescent="0.15">
      <c r="A543" t="s">
        <v>122</v>
      </c>
      <c r="B543" t="s">
        <v>8059</v>
      </c>
      <c r="C543" t="s">
        <v>74</v>
      </c>
      <c r="D543" t="s">
        <v>74</v>
      </c>
      <c r="E543" t="s">
        <v>74</v>
      </c>
      <c r="F543" t="s">
        <v>8059</v>
      </c>
      <c r="G543" t="s">
        <v>74</v>
      </c>
      <c r="H543" t="s">
        <v>74</v>
      </c>
      <c r="I543" t="s">
        <v>8060</v>
      </c>
      <c r="J543" t="s">
        <v>3532</v>
      </c>
      <c r="K543" t="s">
        <v>74</v>
      </c>
      <c r="L543" t="s">
        <v>74</v>
      </c>
      <c r="M543" t="s">
        <v>79</v>
      </c>
      <c r="N543" t="s">
        <v>52</v>
      </c>
      <c r="O543" t="s">
        <v>8046</v>
      </c>
      <c r="P543" t="s">
        <v>8047</v>
      </c>
      <c r="Q543" t="s">
        <v>8048</v>
      </c>
      <c r="R543" t="s">
        <v>74</v>
      </c>
      <c r="S543" t="s">
        <v>74</v>
      </c>
      <c r="T543" t="s">
        <v>74</v>
      </c>
      <c r="U543" t="s">
        <v>74</v>
      </c>
      <c r="V543" t="s">
        <v>74</v>
      </c>
      <c r="W543" t="s">
        <v>8061</v>
      </c>
      <c r="X543" t="s">
        <v>8062</v>
      </c>
      <c r="Y543" t="s">
        <v>74</v>
      </c>
      <c r="Z543" t="s">
        <v>8063</v>
      </c>
      <c r="AA543" t="s">
        <v>8064</v>
      </c>
      <c r="AB543" t="s">
        <v>8065</v>
      </c>
      <c r="AC543" t="s">
        <v>74</v>
      </c>
      <c r="AD543" t="s">
        <v>74</v>
      </c>
      <c r="AE543" t="s">
        <v>74</v>
      </c>
      <c r="AF543" t="s">
        <v>74</v>
      </c>
      <c r="AG543">
        <v>2</v>
      </c>
      <c r="AH543">
        <v>2</v>
      </c>
      <c r="AI543">
        <v>2</v>
      </c>
      <c r="AJ543">
        <v>0</v>
      </c>
      <c r="AK543">
        <v>2</v>
      </c>
      <c r="AL543" t="s">
        <v>1418</v>
      </c>
      <c r="AM543" t="s">
        <v>1419</v>
      </c>
      <c r="AN543" t="s">
        <v>1420</v>
      </c>
      <c r="AO543" t="s">
        <v>3543</v>
      </c>
      <c r="AP543" t="s">
        <v>3558</v>
      </c>
      <c r="AQ543" t="s">
        <v>74</v>
      </c>
      <c r="AR543" t="s">
        <v>3544</v>
      </c>
      <c r="AS543" t="s">
        <v>3545</v>
      </c>
      <c r="AT543" t="s">
        <v>7250</v>
      </c>
      <c r="AU543">
        <v>2004</v>
      </c>
      <c r="AV543">
        <v>39</v>
      </c>
      <c r="AW543">
        <v>8</v>
      </c>
      <c r="AX543" t="s">
        <v>74</v>
      </c>
      <c r="AY543" t="s">
        <v>8055</v>
      </c>
      <c r="AZ543" t="s">
        <v>74</v>
      </c>
      <c r="BA543" t="s">
        <v>74</v>
      </c>
      <c r="BB543" t="s">
        <v>8066</v>
      </c>
      <c r="BC543" t="s">
        <v>8066</v>
      </c>
      <c r="BD543" t="s">
        <v>74</v>
      </c>
      <c r="BE543" t="s">
        <v>74</v>
      </c>
      <c r="BF543" t="s">
        <v>74</v>
      </c>
      <c r="BG543" t="s">
        <v>74</v>
      </c>
      <c r="BH543" t="s">
        <v>74</v>
      </c>
      <c r="BI543">
        <v>1</v>
      </c>
      <c r="BJ543" t="s">
        <v>271</v>
      </c>
      <c r="BK543" t="s">
        <v>1257</v>
      </c>
      <c r="BL543" t="s">
        <v>271</v>
      </c>
      <c r="BM543" t="s">
        <v>8057</v>
      </c>
      <c r="BN543" t="s">
        <v>74</v>
      </c>
      <c r="BO543" t="s">
        <v>74</v>
      </c>
      <c r="BP543" t="s">
        <v>74</v>
      </c>
      <c r="BQ543" t="s">
        <v>74</v>
      </c>
      <c r="BR543" t="s">
        <v>98</v>
      </c>
      <c r="BS543" t="s">
        <v>8067</v>
      </c>
      <c r="BT543" t="str">
        <f>HYPERLINK("https%3A%2F%2Fwww.webofscience.com%2Fwos%2Fwoscc%2Ffull-record%2FWOS:000222990600197","View Full Record in Web of Science")</f>
        <v>View Full Record in Web of Science</v>
      </c>
    </row>
    <row r="544" spans="1:72" x14ac:dyDescent="0.15">
      <c r="A544" t="s">
        <v>122</v>
      </c>
      <c r="B544" t="s">
        <v>8068</v>
      </c>
      <c r="C544" t="s">
        <v>74</v>
      </c>
      <c r="D544" t="s">
        <v>74</v>
      </c>
      <c r="E544" t="s">
        <v>74</v>
      </c>
      <c r="F544" t="s">
        <v>8068</v>
      </c>
      <c r="G544" t="s">
        <v>74</v>
      </c>
      <c r="H544" t="s">
        <v>74</v>
      </c>
      <c r="I544" t="s">
        <v>8069</v>
      </c>
      <c r="J544" t="s">
        <v>3532</v>
      </c>
      <c r="K544" t="s">
        <v>74</v>
      </c>
      <c r="L544" t="s">
        <v>74</v>
      </c>
      <c r="M544" t="s">
        <v>79</v>
      </c>
      <c r="N544" t="s">
        <v>52</v>
      </c>
      <c r="O544" t="s">
        <v>8046</v>
      </c>
      <c r="P544" t="s">
        <v>8047</v>
      </c>
      <c r="Q544" t="s">
        <v>8048</v>
      </c>
      <c r="R544" t="s">
        <v>74</v>
      </c>
      <c r="S544" t="s">
        <v>74</v>
      </c>
      <c r="T544" t="s">
        <v>74</v>
      </c>
      <c r="U544" t="s">
        <v>8070</v>
      </c>
      <c r="V544" t="s">
        <v>74</v>
      </c>
      <c r="W544" t="s">
        <v>8071</v>
      </c>
      <c r="X544" t="s">
        <v>8072</v>
      </c>
      <c r="Y544" t="s">
        <v>74</v>
      </c>
      <c r="Z544" t="s">
        <v>8073</v>
      </c>
      <c r="AA544" t="s">
        <v>8074</v>
      </c>
      <c r="AB544" t="s">
        <v>8075</v>
      </c>
      <c r="AC544" t="s">
        <v>74</v>
      </c>
      <c r="AD544" t="s">
        <v>74</v>
      </c>
      <c r="AE544" t="s">
        <v>74</v>
      </c>
      <c r="AF544" t="s">
        <v>74</v>
      </c>
      <c r="AG544">
        <v>6</v>
      </c>
      <c r="AH544">
        <v>1</v>
      </c>
      <c r="AI544">
        <v>1</v>
      </c>
      <c r="AJ544">
        <v>0</v>
      </c>
      <c r="AK544">
        <v>0</v>
      </c>
      <c r="AL544" t="s">
        <v>3540</v>
      </c>
      <c r="AM544" t="s">
        <v>3541</v>
      </c>
      <c r="AN544" t="s">
        <v>3542</v>
      </c>
      <c r="AO544" t="s">
        <v>3543</v>
      </c>
      <c r="AP544" t="s">
        <v>74</v>
      </c>
      <c r="AQ544" t="s">
        <v>74</v>
      </c>
      <c r="AR544" t="s">
        <v>3544</v>
      </c>
      <c r="AS544" t="s">
        <v>3545</v>
      </c>
      <c r="AT544" t="s">
        <v>7250</v>
      </c>
      <c r="AU544">
        <v>2004</v>
      </c>
      <c r="AV544">
        <v>39</v>
      </c>
      <c r="AW544">
        <v>8</v>
      </c>
      <c r="AX544" t="s">
        <v>74</v>
      </c>
      <c r="AY544" t="s">
        <v>8055</v>
      </c>
      <c r="AZ544" t="s">
        <v>74</v>
      </c>
      <c r="BA544" t="s">
        <v>74</v>
      </c>
      <c r="BB544" t="s">
        <v>8076</v>
      </c>
      <c r="BC544" t="s">
        <v>8076</v>
      </c>
      <c r="BD544" t="s">
        <v>74</v>
      </c>
      <c r="BE544" t="s">
        <v>74</v>
      </c>
      <c r="BF544" t="s">
        <v>74</v>
      </c>
      <c r="BG544" t="s">
        <v>74</v>
      </c>
      <c r="BH544" t="s">
        <v>74</v>
      </c>
      <c r="BI544">
        <v>1</v>
      </c>
      <c r="BJ544" t="s">
        <v>271</v>
      </c>
      <c r="BK544" t="s">
        <v>1150</v>
      </c>
      <c r="BL544" t="s">
        <v>271</v>
      </c>
      <c r="BM544" t="s">
        <v>8057</v>
      </c>
      <c r="BN544" t="s">
        <v>74</v>
      </c>
      <c r="BO544" t="s">
        <v>74</v>
      </c>
      <c r="BP544" t="s">
        <v>74</v>
      </c>
      <c r="BQ544" t="s">
        <v>74</v>
      </c>
      <c r="BR544" t="s">
        <v>98</v>
      </c>
      <c r="BS544" t="s">
        <v>8077</v>
      </c>
      <c r="BT544" t="str">
        <f>HYPERLINK("https%3A%2F%2Fwww.webofscience.com%2Fwos%2Fwoscc%2Ffull-record%2FWOS:000222990600213","View Full Record in Web of Science")</f>
        <v>View Full Record in Web of Science</v>
      </c>
    </row>
    <row r="545" spans="1:72" x14ac:dyDescent="0.15">
      <c r="A545" t="s">
        <v>122</v>
      </c>
      <c r="B545" t="s">
        <v>8078</v>
      </c>
      <c r="C545" t="s">
        <v>74</v>
      </c>
      <c r="D545" t="s">
        <v>74</v>
      </c>
      <c r="E545" t="s">
        <v>74</v>
      </c>
      <c r="F545" t="s">
        <v>8078</v>
      </c>
      <c r="G545" t="s">
        <v>74</v>
      </c>
      <c r="H545" t="s">
        <v>74</v>
      </c>
      <c r="I545" t="s">
        <v>8079</v>
      </c>
      <c r="J545" t="s">
        <v>3563</v>
      </c>
      <c r="K545" t="s">
        <v>74</v>
      </c>
      <c r="L545" t="s">
        <v>74</v>
      </c>
      <c r="M545" t="s">
        <v>79</v>
      </c>
      <c r="N545" t="s">
        <v>126</v>
      </c>
      <c r="O545" t="s">
        <v>74</v>
      </c>
      <c r="P545" t="s">
        <v>74</v>
      </c>
      <c r="Q545" t="s">
        <v>74</v>
      </c>
      <c r="R545" t="s">
        <v>74</v>
      </c>
      <c r="S545" t="s">
        <v>74</v>
      </c>
      <c r="T545" t="s">
        <v>8080</v>
      </c>
      <c r="U545" t="s">
        <v>8081</v>
      </c>
      <c r="V545" t="s">
        <v>8082</v>
      </c>
      <c r="W545" t="s">
        <v>8083</v>
      </c>
      <c r="X545" t="s">
        <v>6012</v>
      </c>
      <c r="Y545" t="s">
        <v>8084</v>
      </c>
      <c r="Z545" t="s">
        <v>8085</v>
      </c>
      <c r="AA545" t="s">
        <v>74</v>
      </c>
      <c r="AB545" t="s">
        <v>74</v>
      </c>
      <c r="AC545" t="s">
        <v>74</v>
      </c>
      <c r="AD545" t="s">
        <v>74</v>
      </c>
      <c r="AE545" t="s">
        <v>74</v>
      </c>
      <c r="AF545" t="s">
        <v>74</v>
      </c>
      <c r="AG545">
        <v>50</v>
      </c>
      <c r="AH545">
        <v>74</v>
      </c>
      <c r="AI545">
        <v>92</v>
      </c>
      <c r="AJ545">
        <v>0</v>
      </c>
      <c r="AK545">
        <v>17</v>
      </c>
      <c r="AL545" t="s">
        <v>1418</v>
      </c>
      <c r="AM545" t="s">
        <v>1419</v>
      </c>
      <c r="AN545" t="s">
        <v>1420</v>
      </c>
      <c r="AO545" t="s">
        <v>3572</v>
      </c>
      <c r="AP545" t="s">
        <v>6547</v>
      </c>
      <c r="AQ545" t="s">
        <v>74</v>
      </c>
      <c r="AR545" t="s">
        <v>3573</v>
      </c>
      <c r="AS545" t="s">
        <v>3574</v>
      </c>
      <c r="AT545" t="s">
        <v>7250</v>
      </c>
      <c r="AU545">
        <v>2004</v>
      </c>
      <c r="AV545">
        <v>13</v>
      </c>
      <c r="AW545">
        <v>8</v>
      </c>
      <c r="AX545" t="s">
        <v>74</v>
      </c>
      <c r="AY545" t="s">
        <v>74</v>
      </c>
      <c r="AZ545" t="s">
        <v>74</v>
      </c>
      <c r="BA545" t="s">
        <v>74</v>
      </c>
      <c r="BB545">
        <v>2345</v>
      </c>
      <c r="BC545">
        <v>2355</v>
      </c>
      <c r="BD545" t="s">
        <v>74</v>
      </c>
      <c r="BE545" t="s">
        <v>8086</v>
      </c>
      <c r="BF545" t="str">
        <f>HYPERLINK("http://dx.doi.org/10.1111/j.1365-294X.2004.02232.x","http://dx.doi.org/10.1111/j.1365-294X.2004.02232.x")</f>
        <v>http://dx.doi.org/10.1111/j.1365-294X.2004.02232.x</v>
      </c>
      <c r="BG545" t="s">
        <v>74</v>
      </c>
      <c r="BH545" t="s">
        <v>74</v>
      </c>
      <c r="BI545">
        <v>11</v>
      </c>
      <c r="BJ545" t="s">
        <v>3576</v>
      </c>
      <c r="BK545" t="s">
        <v>139</v>
      </c>
      <c r="BL545" t="s">
        <v>3577</v>
      </c>
      <c r="BM545" t="s">
        <v>8087</v>
      </c>
      <c r="BN545">
        <v>15245406</v>
      </c>
      <c r="BO545" t="s">
        <v>74</v>
      </c>
      <c r="BP545" t="s">
        <v>74</v>
      </c>
      <c r="BQ545" t="s">
        <v>74</v>
      </c>
      <c r="BR545" t="s">
        <v>98</v>
      </c>
      <c r="BS545" t="s">
        <v>8088</v>
      </c>
      <c r="BT545" t="str">
        <f>HYPERLINK("https%3A%2F%2Fwww.webofscience.com%2Fwos%2Fwoscc%2Ffull-record%2FWOS:000222521300020","View Full Record in Web of Science")</f>
        <v>View Full Record in Web of Science</v>
      </c>
    </row>
    <row r="546" spans="1:72" x14ac:dyDescent="0.15">
      <c r="A546" t="s">
        <v>122</v>
      </c>
      <c r="B546" t="s">
        <v>8089</v>
      </c>
      <c r="C546" t="s">
        <v>74</v>
      </c>
      <c r="D546" t="s">
        <v>74</v>
      </c>
      <c r="E546" t="s">
        <v>74</v>
      </c>
      <c r="F546" t="s">
        <v>8089</v>
      </c>
      <c r="G546" t="s">
        <v>74</v>
      </c>
      <c r="H546" t="s">
        <v>74</v>
      </c>
      <c r="I546" t="s">
        <v>8090</v>
      </c>
      <c r="J546" t="s">
        <v>8091</v>
      </c>
      <c r="K546" t="s">
        <v>74</v>
      </c>
      <c r="L546" t="s">
        <v>74</v>
      </c>
      <c r="M546" t="s">
        <v>79</v>
      </c>
      <c r="N546" t="s">
        <v>1129</v>
      </c>
      <c r="O546" t="s">
        <v>8092</v>
      </c>
      <c r="P546" t="s">
        <v>8093</v>
      </c>
      <c r="Q546" t="s">
        <v>8094</v>
      </c>
      <c r="R546" t="s">
        <v>74</v>
      </c>
      <c r="S546" t="s">
        <v>8095</v>
      </c>
      <c r="T546" t="s">
        <v>8096</v>
      </c>
      <c r="U546" t="s">
        <v>8097</v>
      </c>
      <c r="V546" t="s">
        <v>8098</v>
      </c>
      <c r="W546" t="s">
        <v>8099</v>
      </c>
      <c r="X546" t="s">
        <v>8100</v>
      </c>
      <c r="Y546" t="s">
        <v>8101</v>
      </c>
      <c r="Z546" t="s">
        <v>8102</v>
      </c>
      <c r="AA546" t="s">
        <v>8103</v>
      </c>
      <c r="AB546" t="s">
        <v>8104</v>
      </c>
      <c r="AC546" t="s">
        <v>74</v>
      </c>
      <c r="AD546" t="s">
        <v>74</v>
      </c>
      <c r="AE546" t="s">
        <v>74</v>
      </c>
      <c r="AF546" t="s">
        <v>74</v>
      </c>
      <c r="AG546">
        <v>12</v>
      </c>
      <c r="AH546">
        <v>8</v>
      </c>
      <c r="AI546">
        <v>8</v>
      </c>
      <c r="AJ546">
        <v>0</v>
      </c>
      <c r="AK546">
        <v>4</v>
      </c>
      <c r="AL546" t="s">
        <v>562</v>
      </c>
      <c r="AM546" t="s">
        <v>532</v>
      </c>
      <c r="AN546" t="s">
        <v>563</v>
      </c>
      <c r="AO546" t="s">
        <v>8105</v>
      </c>
      <c r="AP546" t="s">
        <v>8106</v>
      </c>
      <c r="AQ546" t="s">
        <v>74</v>
      </c>
      <c r="AR546" t="s">
        <v>8107</v>
      </c>
      <c r="AS546" t="s">
        <v>8108</v>
      </c>
      <c r="AT546" t="s">
        <v>7250</v>
      </c>
      <c r="AU546">
        <v>2004</v>
      </c>
      <c r="AV546">
        <v>223</v>
      </c>
      <c r="AW546" t="s">
        <v>74</v>
      </c>
      <c r="AX546" t="s">
        <v>74</v>
      </c>
      <c r="AY546" t="s">
        <v>74</v>
      </c>
      <c r="AZ546" t="s">
        <v>74</v>
      </c>
      <c r="BA546" t="s">
        <v>74</v>
      </c>
      <c r="BB546">
        <v>516</v>
      </c>
      <c r="BC546">
        <v>520</v>
      </c>
      <c r="BD546" t="s">
        <v>74</v>
      </c>
      <c r="BE546" t="s">
        <v>8109</v>
      </c>
      <c r="BF546" t="str">
        <f>HYPERLINK("http://dx.doi.org/10.1016/j.nimb.2004.04.097","http://dx.doi.org/10.1016/j.nimb.2004.04.097")</f>
        <v>http://dx.doi.org/10.1016/j.nimb.2004.04.097</v>
      </c>
      <c r="BG546" t="s">
        <v>74</v>
      </c>
      <c r="BH546" t="s">
        <v>74</v>
      </c>
      <c r="BI546">
        <v>5</v>
      </c>
      <c r="BJ546" t="s">
        <v>8110</v>
      </c>
      <c r="BK546" t="s">
        <v>1257</v>
      </c>
      <c r="BL546" t="s">
        <v>8111</v>
      </c>
      <c r="BM546" t="s">
        <v>8112</v>
      </c>
      <c r="BN546" t="s">
        <v>74</v>
      </c>
      <c r="BO546" t="s">
        <v>74</v>
      </c>
      <c r="BP546" t="s">
        <v>74</v>
      </c>
      <c r="BQ546" t="s">
        <v>74</v>
      </c>
      <c r="BR546" t="s">
        <v>98</v>
      </c>
      <c r="BS546" t="s">
        <v>8113</v>
      </c>
      <c r="BT546" t="str">
        <f>HYPERLINK("https%3A%2F%2Fwww.webofscience.com%2Fwos%2Fwoscc%2Ffull-record%2FWOS:000223752300095","View Full Record in Web of Science")</f>
        <v>View Full Record in Web of Science</v>
      </c>
    </row>
    <row r="547" spans="1:72" x14ac:dyDescent="0.15">
      <c r="A547" t="s">
        <v>122</v>
      </c>
      <c r="B547" t="s">
        <v>8114</v>
      </c>
      <c r="C547" t="s">
        <v>74</v>
      </c>
      <c r="D547" t="s">
        <v>74</v>
      </c>
      <c r="E547" t="s">
        <v>74</v>
      </c>
      <c r="F547" t="s">
        <v>8114</v>
      </c>
      <c r="G547" t="s">
        <v>74</v>
      </c>
      <c r="H547" t="s">
        <v>74</v>
      </c>
      <c r="I547" t="s">
        <v>8115</v>
      </c>
      <c r="J547" t="s">
        <v>1912</v>
      </c>
      <c r="K547" t="s">
        <v>74</v>
      </c>
      <c r="L547" t="s">
        <v>74</v>
      </c>
      <c r="M547" t="s">
        <v>79</v>
      </c>
      <c r="N547" t="s">
        <v>126</v>
      </c>
      <c r="O547" t="s">
        <v>74</v>
      </c>
      <c r="P547" t="s">
        <v>74</v>
      </c>
      <c r="Q547" t="s">
        <v>74</v>
      </c>
      <c r="R547" t="s">
        <v>74</v>
      </c>
      <c r="S547" t="s">
        <v>74</v>
      </c>
      <c r="T547" t="s">
        <v>74</v>
      </c>
      <c r="U547" t="s">
        <v>8116</v>
      </c>
      <c r="V547" t="s">
        <v>8117</v>
      </c>
      <c r="W547" t="s">
        <v>8118</v>
      </c>
      <c r="X547" t="s">
        <v>8119</v>
      </c>
      <c r="Y547" t="s">
        <v>8120</v>
      </c>
      <c r="Z547" t="s">
        <v>8121</v>
      </c>
      <c r="AA547" t="s">
        <v>8122</v>
      </c>
      <c r="AB547" t="s">
        <v>8123</v>
      </c>
      <c r="AC547" t="s">
        <v>74</v>
      </c>
      <c r="AD547" t="s">
        <v>74</v>
      </c>
      <c r="AE547" t="s">
        <v>74</v>
      </c>
      <c r="AF547" t="s">
        <v>74</v>
      </c>
      <c r="AG547">
        <v>44</v>
      </c>
      <c r="AH547">
        <v>36</v>
      </c>
      <c r="AI547">
        <v>42</v>
      </c>
      <c r="AJ547">
        <v>1</v>
      </c>
      <c r="AK547">
        <v>13</v>
      </c>
      <c r="AL547" t="s">
        <v>1509</v>
      </c>
      <c r="AM547" t="s">
        <v>613</v>
      </c>
      <c r="AN547" t="s">
        <v>1776</v>
      </c>
      <c r="AO547" t="s">
        <v>1921</v>
      </c>
      <c r="AP547" t="s">
        <v>74</v>
      </c>
      <c r="AQ547" t="s">
        <v>74</v>
      </c>
      <c r="AR547" t="s">
        <v>1922</v>
      </c>
      <c r="AS547" t="s">
        <v>1923</v>
      </c>
      <c r="AT547" t="s">
        <v>7250</v>
      </c>
      <c r="AU547">
        <v>2004</v>
      </c>
      <c r="AV547">
        <v>27</v>
      </c>
      <c r="AW547">
        <v>9</v>
      </c>
      <c r="AX547" t="s">
        <v>74</v>
      </c>
      <c r="AY547" t="s">
        <v>74</v>
      </c>
      <c r="AZ547" t="s">
        <v>74</v>
      </c>
      <c r="BA547" t="s">
        <v>74</v>
      </c>
      <c r="BB547">
        <v>513</v>
      </c>
      <c r="BC547">
        <v>531</v>
      </c>
      <c r="BD547" t="s">
        <v>74</v>
      </c>
      <c r="BE547" t="s">
        <v>8124</v>
      </c>
      <c r="BF547" t="str">
        <f>HYPERLINK("http://dx.doi.org/10.1007/s00300-004-0624-2","http://dx.doi.org/10.1007/s00300-004-0624-2")</f>
        <v>http://dx.doi.org/10.1007/s00300-004-0624-2</v>
      </c>
      <c r="BG547" t="s">
        <v>74</v>
      </c>
      <c r="BH547" t="s">
        <v>74</v>
      </c>
      <c r="BI547">
        <v>19</v>
      </c>
      <c r="BJ547" t="s">
        <v>1491</v>
      </c>
      <c r="BK547" t="s">
        <v>139</v>
      </c>
      <c r="BL547" t="s">
        <v>1337</v>
      </c>
      <c r="BM547" t="s">
        <v>8125</v>
      </c>
      <c r="BN547" t="s">
        <v>74</v>
      </c>
      <c r="BO547" t="s">
        <v>74</v>
      </c>
      <c r="BP547" t="s">
        <v>74</v>
      </c>
      <c r="BQ547" t="s">
        <v>74</v>
      </c>
      <c r="BR547" t="s">
        <v>98</v>
      </c>
      <c r="BS547" t="s">
        <v>8126</v>
      </c>
      <c r="BT547" t="str">
        <f>HYPERLINK("https%3A%2F%2Fwww.webofscience.com%2Fwos%2Fwoscc%2Ffull-record%2FWOS:000223264400002","View Full Record in Web of Science")</f>
        <v>View Full Record in Web of Science</v>
      </c>
    </row>
    <row r="548" spans="1:72" x14ac:dyDescent="0.15">
      <c r="A548" t="s">
        <v>122</v>
      </c>
      <c r="B548" t="s">
        <v>8127</v>
      </c>
      <c r="C548" t="s">
        <v>74</v>
      </c>
      <c r="D548" t="s">
        <v>74</v>
      </c>
      <c r="E548" t="s">
        <v>74</v>
      </c>
      <c r="F548" t="s">
        <v>8127</v>
      </c>
      <c r="G548" t="s">
        <v>74</v>
      </c>
      <c r="H548" t="s">
        <v>74</v>
      </c>
      <c r="I548" t="s">
        <v>8128</v>
      </c>
      <c r="J548" t="s">
        <v>1912</v>
      </c>
      <c r="K548" t="s">
        <v>74</v>
      </c>
      <c r="L548" t="s">
        <v>74</v>
      </c>
      <c r="M548" t="s">
        <v>79</v>
      </c>
      <c r="N548" t="s">
        <v>126</v>
      </c>
      <c r="O548" t="s">
        <v>74</v>
      </c>
      <c r="P548" t="s">
        <v>74</v>
      </c>
      <c r="Q548" t="s">
        <v>74</v>
      </c>
      <c r="R548" t="s">
        <v>74</v>
      </c>
      <c r="S548" t="s">
        <v>74</v>
      </c>
      <c r="T548" t="s">
        <v>74</v>
      </c>
      <c r="U548" t="s">
        <v>8129</v>
      </c>
      <c r="V548" t="s">
        <v>8130</v>
      </c>
      <c r="W548" t="s">
        <v>8131</v>
      </c>
      <c r="X548" t="s">
        <v>8132</v>
      </c>
      <c r="Y548" t="s">
        <v>8133</v>
      </c>
      <c r="Z548" t="s">
        <v>8134</v>
      </c>
      <c r="AA548" t="s">
        <v>74</v>
      </c>
      <c r="AB548" t="s">
        <v>74</v>
      </c>
      <c r="AC548" t="s">
        <v>74</v>
      </c>
      <c r="AD548" t="s">
        <v>74</v>
      </c>
      <c r="AE548" t="s">
        <v>74</v>
      </c>
      <c r="AF548" t="s">
        <v>74</v>
      </c>
      <c r="AG548">
        <v>43</v>
      </c>
      <c r="AH548">
        <v>66</v>
      </c>
      <c r="AI548">
        <v>71</v>
      </c>
      <c r="AJ548">
        <v>0</v>
      </c>
      <c r="AK548">
        <v>12</v>
      </c>
      <c r="AL548" t="s">
        <v>1509</v>
      </c>
      <c r="AM548" t="s">
        <v>613</v>
      </c>
      <c r="AN548" t="s">
        <v>1821</v>
      </c>
      <c r="AO548" t="s">
        <v>1921</v>
      </c>
      <c r="AP548" t="s">
        <v>1937</v>
      </c>
      <c r="AQ548" t="s">
        <v>74</v>
      </c>
      <c r="AR548" t="s">
        <v>1922</v>
      </c>
      <c r="AS548" t="s">
        <v>1923</v>
      </c>
      <c r="AT548" t="s">
        <v>7250</v>
      </c>
      <c r="AU548">
        <v>2004</v>
      </c>
      <c r="AV548">
        <v>27</v>
      </c>
      <c r="AW548">
        <v>9</v>
      </c>
      <c r="AX548" t="s">
        <v>74</v>
      </c>
      <c r="AY548" t="s">
        <v>74</v>
      </c>
      <c r="AZ548" t="s">
        <v>74</v>
      </c>
      <c r="BA548" t="s">
        <v>74</v>
      </c>
      <c r="BB548">
        <v>532</v>
      </c>
      <c r="BC548">
        <v>543</v>
      </c>
      <c r="BD548" t="s">
        <v>74</v>
      </c>
      <c r="BE548" t="s">
        <v>8135</v>
      </c>
      <c r="BF548" t="str">
        <f>HYPERLINK("http://dx.doi.org/10.1007/s00300-004-0629-x","http://dx.doi.org/10.1007/s00300-004-0629-x")</f>
        <v>http://dx.doi.org/10.1007/s00300-004-0629-x</v>
      </c>
      <c r="BG548" t="s">
        <v>74</v>
      </c>
      <c r="BH548" t="s">
        <v>74</v>
      </c>
      <c r="BI548">
        <v>12</v>
      </c>
      <c r="BJ548" t="s">
        <v>1491</v>
      </c>
      <c r="BK548" t="s">
        <v>139</v>
      </c>
      <c r="BL548" t="s">
        <v>1337</v>
      </c>
      <c r="BM548" t="s">
        <v>8125</v>
      </c>
      <c r="BN548" t="s">
        <v>74</v>
      </c>
      <c r="BO548" t="s">
        <v>74</v>
      </c>
      <c r="BP548" t="s">
        <v>74</v>
      </c>
      <c r="BQ548" t="s">
        <v>74</v>
      </c>
      <c r="BR548" t="s">
        <v>98</v>
      </c>
      <c r="BS548" t="s">
        <v>8136</v>
      </c>
      <c r="BT548" t="str">
        <f>HYPERLINK("https%3A%2F%2Fwww.webofscience.com%2Fwos%2Fwoscc%2Ffull-record%2FWOS:000223264400003","View Full Record in Web of Science")</f>
        <v>View Full Record in Web of Science</v>
      </c>
    </row>
    <row r="549" spans="1:72" x14ac:dyDescent="0.15">
      <c r="A549" t="s">
        <v>122</v>
      </c>
      <c r="B549" t="s">
        <v>8137</v>
      </c>
      <c r="C549" t="s">
        <v>74</v>
      </c>
      <c r="D549" t="s">
        <v>74</v>
      </c>
      <c r="E549" t="s">
        <v>74</v>
      </c>
      <c r="F549" t="s">
        <v>8137</v>
      </c>
      <c r="G549" t="s">
        <v>74</v>
      </c>
      <c r="H549" t="s">
        <v>74</v>
      </c>
      <c r="I549" t="s">
        <v>8138</v>
      </c>
      <c r="J549" t="s">
        <v>1912</v>
      </c>
      <c r="K549" t="s">
        <v>74</v>
      </c>
      <c r="L549" t="s">
        <v>74</v>
      </c>
      <c r="M549" t="s">
        <v>79</v>
      </c>
      <c r="N549" t="s">
        <v>126</v>
      </c>
      <c r="O549" t="s">
        <v>74</v>
      </c>
      <c r="P549" t="s">
        <v>74</v>
      </c>
      <c r="Q549" t="s">
        <v>74</v>
      </c>
      <c r="R549" t="s">
        <v>74</v>
      </c>
      <c r="S549" t="s">
        <v>74</v>
      </c>
      <c r="T549" t="s">
        <v>74</v>
      </c>
      <c r="U549" t="s">
        <v>8139</v>
      </c>
      <c r="V549" t="s">
        <v>8140</v>
      </c>
      <c r="W549" t="s">
        <v>2323</v>
      </c>
      <c r="X549" t="s">
        <v>748</v>
      </c>
      <c r="Y549" t="s">
        <v>502</v>
      </c>
      <c r="Z549" t="s">
        <v>8141</v>
      </c>
      <c r="AA549" t="s">
        <v>74</v>
      </c>
      <c r="AB549" t="s">
        <v>74</v>
      </c>
      <c r="AC549" t="s">
        <v>74</v>
      </c>
      <c r="AD549" t="s">
        <v>74</v>
      </c>
      <c r="AE549" t="s">
        <v>74</v>
      </c>
      <c r="AF549" t="s">
        <v>74</v>
      </c>
      <c r="AG549">
        <v>54</v>
      </c>
      <c r="AH549">
        <v>74</v>
      </c>
      <c r="AI549">
        <v>88</v>
      </c>
      <c r="AJ549">
        <v>1</v>
      </c>
      <c r="AK549">
        <v>34</v>
      </c>
      <c r="AL549" t="s">
        <v>1509</v>
      </c>
      <c r="AM549" t="s">
        <v>613</v>
      </c>
      <c r="AN549" t="s">
        <v>1948</v>
      </c>
      <c r="AO549" t="s">
        <v>1921</v>
      </c>
      <c r="AP549" t="s">
        <v>1937</v>
      </c>
      <c r="AQ549" t="s">
        <v>74</v>
      </c>
      <c r="AR549" t="s">
        <v>1922</v>
      </c>
      <c r="AS549" t="s">
        <v>1923</v>
      </c>
      <c r="AT549" t="s">
        <v>7250</v>
      </c>
      <c r="AU549">
        <v>2004</v>
      </c>
      <c r="AV549">
        <v>27</v>
      </c>
      <c r="AW549">
        <v>9</v>
      </c>
      <c r="AX549" t="s">
        <v>74</v>
      </c>
      <c r="AY549" t="s">
        <v>74</v>
      </c>
      <c r="AZ549" t="s">
        <v>74</v>
      </c>
      <c r="BA549" t="s">
        <v>74</v>
      </c>
      <c r="BB549">
        <v>544</v>
      </c>
      <c r="BC549">
        <v>554</v>
      </c>
      <c r="BD549" t="s">
        <v>74</v>
      </c>
      <c r="BE549" t="s">
        <v>8142</v>
      </c>
      <c r="BF549" t="str">
        <f>HYPERLINK("http://dx.doi.org/10.1007/s00300-004-0617-1","http://dx.doi.org/10.1007/s00300-004-0617-1")</f>
        <v>http://dx.doi.org/10.1007/s00300-004-0617-1</v>
      </c>
      <c r="BG549" t="s">
        <v>74</v>
      </c>
      <c r="BH549" t="s">
        <v>74</v>
      </c>
      <c r="BI549">
        <v>11</v>
      </c>
      <c r="BJ549" t="s">
        <v>1491</v>
      </c>
      <c r="BK549" t="s">
        <v>139</v>
      </c>
      <c r="BL549" t="s">
        <v>1337</v>
      </c>
      <c r="BM549" t="s">
        <v>8125</v>
      </c>
      <c r="BN549" t="s">
        <v>74</v>
      </c>
      <c r="BO549" t="s">
        <v>74</v>
      </c>
      <c r="BP549" t="s">
        <v>74</v>
      </c>
      <c r="BQ549" t="s">
        <v>74</v>
      </c>
      <c r="BR549" t="s">
        <v>98</v>
      </c>
      <c r="BS549" t="s">
        <v>8143</v>
      </c>
      <c r="BT549" t="str">
        <f>HYPERLINK("https%3A%2F%2Fwww.webofscience.com%2Fwos%2Fwoscc%2Ffull-record%2FWOS:000223264400004","View Full Record in Web of Science")</f>
        <v>View Full Record in Web of Science</v>
      </c>
    </row>
    <row r="550" spans="1:72" x14ac:dyDescent="0.15">
      <c r="A550" t="s">
        <v>122</v>
      </c>
      <c r="B550" t="s">
        <v>8144</v>
      </c>
      <c r="C550" t="s">
        <v>74</v>
      </c>
      <c r="D550" t="s">
        <v>74</v>
      </c>
      <c r="E550" t="s">
        <v>74</v>
      </c>
      <c r="F550" t="s">
        <v>8144</v>
      </c>
      <c r="G550" t="s">
        <v>74</v>
      </c>
      <c r="H550" t="s">
        <v>74</v>
      </c>
      <c r="I550" t="s">
        <v>8145</v>
      </c>
      <c r="J550" t="s">
        <v>1912</v>
      </c>
      <c r="K550" t="s">
        <v>74</v>
      </c>
      <c r="L550" t="s">
        <v>74</v>
      </c>
      <c r="M550" t="s">
        <v>79</v>
      </c>
      <c r="N550" t="s">
        <v>126</v>
      </c>
      <c r="O550" t="s">
        <v>74</v>
      </c>
      <c r="P550" t="s">
        <v>74</v>
      </c>
      <c r="Q550" t="s">
        <v>74</v>
      </c>
      <c r="R550" t="s">
        <v>74</v>
      </c>
      <c r="S550" t="s">
        <v>74</v>
      </c>
      <c r="T550" t="s">
        <v>74</v>
      </c>
      <c r="U550" t="s">
        <v>8146</v>
      </c>
      <c r="V550" t="s">
        <v>8147</v>
      </c>
      <c r="W550" t="s">
        <v>2323</v>
      </c>
      <c r="X550" t="s">
        <v>748</v>
      </c>
      <c r="Y550" t="s">
        <v>502</v>
      </c>
      <c r="Z550" t="s">
        <v>8148</v>
      </c>
      <c r="AA550" t="s">
        <v>8149</v>
      </c>
      <c r="AB550" t="s">
        <v>8150</v>
      </c>
      <c r="AC550" t="s">
        <v>74</v>
      </c>
      <c r="AD550" t="s">
        <v>74</v>
      </c>
      <c r="AE550" t="s">
        <v>74</v>
      </c>
      <c r="AF550" t="s">
        <v>74</v>
      </c>
      <c r="AG550">
        <v>29</v>
      </c>
      <c r="AH550">
        <v>32</v>
      </c>
      <c r="AI550">
        <v>36</v>
      </c>
      <c r="AJ550">
        <v>0</v>
      </c>
      <c r="AK550">
        <v>12</v>
      </c>
      <c r="AL550" t="s">
        <v>1509</v>
      </c>
      <c r="AM550" t="s">
        <v>613</v>
      </c>
      <c r="AN550" t="s">
        <v>1948</v>
      </c>
      <c r="AO550" t="s">
        <v>1921</v>
      </c>
      <c r="AP550" t="s">
        <v>1937</v>
      </c>
      <c r="AQ550" t="s">
        <v>74</v>
      </c>
      <c r="AR550" t="s">
        <v>1922</v>
      </c>
      <c r="AS550" t="s">
        <v>1923</v>
      </c>
      <c r="AT550" t="s">
        <v>7250</v>
      </c>
      <c r="AU550">
        <v>2004</v>
      </c>
      <c r="AV550">
        <v>27</v>
      </c>
      <c r="AW550">
        <v>9</v>
      </c>
      <c r="AX550" t="s">
        <v>74</v>
      </c>
      <c r="AY550" t="s">
        <v>74</v>
      </c>
      <c r="AZ550" t="s">
        <v>74</v>
      </c>
      <c r="BA550" t="s">
        <v>74</v>
      </c>
      <c r="BB550">
        <v>555</v>
      </c>
      <c r="BC550">
        <v>561</v>
      </c>
      <c r="BD550" t="s">
        <v>74</v>
      </c>
      <c r="BE550" t="s">
        <v>8151</v>
      </c>
      <c r="BF550" t="str">
        <f>HYPERLINK("http://dx.doi.org/10.1007/s00300-004-0633-1","http://dx.doi.org/10.1007/s00300-004-0633-1")</f>
        <v>http://dx.doi.org/10.1007/s00300-004-0633-1</v>
      </c>
      <c r="BG550" t="s">
        <v>74</v>
      </c>
      <c r="BH550" t="s">
        <v>74</v>
      </c>
      <c r="BI550">
        <v>7</v>
      </c>
      <c r="BJ550" t="s">
        <v>1491</v>
      </c>
      <c r="BK550" t="s">
        <v>139</v>
      </c>
      <c r="BL550" t="s">
        <v>1337</v>
      </c>
      <c r="BM550" t="s">
        <v>8125</v>
      </c>
      <c r="BN550" t="s">
        <v>74</v>
      </c>
      <c r="BO550" t="s">
        <v>74</v>
      </c>
      <c r="BP550" t="s">
        <v>74</v>
      </c>
      <c r="BQ550" t="s">
        <v>74</v>
      </c>
      <c r="BR550" t="s">
        <v>98</v>
      </c>
      <c r="BS550" t="s">
        <v>8152</v>
      </c>
      <c r="BT550" t="str">
        <f>HYPERLINK("https%3A%2F%2Fwww.webofscience.com%2Fwos%2Fwoscc%2Ffull-record%2FWOS:000223264400005","View Full Record in Web of Science")</f>
        <v>View Full Record in Web of Science</v>
      </c>
    </row>
    <row r="551" spans="1:72" x14ac:dyDescent="0.15">
      <c r="A551" t="s">
        <v>122</v>
      </c>
      <c r="B551" t="s">
        <v>8153</v>
      </c>
      <c r="C551" t="s">
        <v>74</v>
      </c>
      <c r="D551" t="s">
        <v>74</v>
      </c>
      <c r="E551" t="s">
        <v>74</v>
      </c>
      <c r="F551" t="s">
        <v>8153</v>
      </c>
      <c r="G551" t="s">
        <v>74</v>
      </c>
      <c r="H551" t="s">
        <v>74</v>
      </c>
      <c r="I551" t="s">
        <v>8154</v>
      </c>
      <c r="J551" t="s">
        <v>5121</v>
      </c>
      <c r="K551" t="s">
        <v>74</v>
      </c>
      <c r="L551" t="s">
        <v>74</v>
      </c>
      <c r="M551" t="s">
        <v>79</v>
      </c>
      <c r="N551" t="s">
        <v>126</v>
      </c>
      <c r="O551" t="s">
        <v>74</v>
      </c>
      <c r="P551" t="s">
        <v>74</v>
      </c>
      <c r="Q551" t="s">
        <v>74</v>
      </c>
      <c r="R551" t="s">
        <v>74</v>
      </c>
      <c r="S551" t="s">
        <v>74</v>
      </c>
      <c r="T551" t="s">
        <v>74</v>
      </c>
      <c r="U551" t="s">
        <v>8155</v>
      </c>
      <c r="V551" t="s">
        <v>8156</v>
      </c>
      <c r="W551" t="s">
        <v>8157</v>
      </c>
      <c r="X551" t="s">
        <v>8158</v>
      </c>
      <c r="Y551" t="s">
        <v>8159</v>
      </c>
      <c r="Z551" t="s">
        <v>8160</v>
      </c>
      <c r="AA551" t="s">
        <v>8161</v>
      </c>
      <c r="AB551" t="s">
        <v>8162</v>
      </c>
      <c r="AC551" t="s">
        <v>74</v>
      </c>
      <c r="AD551" t="s">
        <v>74</v>
      </c>
      <c r="AE551" t="s">
        <v>74</v>
      </c>
      <c r="AF551" t="s">
        <v>74</v>
      </c>
      <c r="AG551">
        <v>72</v>
      </c>
      <c r="AH551">
        <v>554</v>
      </c>
      <c r="AI551">
        <v>653</v>
      </c>
      <c r="AJ551">
        <v>1</v>
      </c>
      <c r="AK551">
        <v>169</v>
      </c>
      <c r="AL551" t="s">
        <v>1644</v>
      </c>
      <c r="AM551" t="s">
        <v>1645</v>
      </c>
      <c r="AN551" t="s">
        <v>1646</v>
      </c>
      <c r="AO551" t="s">
        <v>74</v>
      </c>
      <c r="AP551" t="s">
        <v>5130</v>
      </c>
      <c r="AQ551" t="s">
        <v>74</v>
      </c>
      <c r="AR551" t="s">
        <v>5131</v>
      </c>
      <c r="AS551" t="s">
        <v>5132</v>
      </c>
      <c r="AT551" t="s">
        <v>7250</v>
      </c>
      <c r="AU551">
        <v>2004</v>
      </c>
      <c r="AV551">
        <v>56</v>
      </c>
      <c r="AW551">
        <v>4</v>
      </c>
      <c r="AX551" t="s">
        <v>74</v>
      </c>
      <c r="AY551" t="s">
        <v>74</v>
      </c>
      <c r="AZ551" t="s">
        <v>74</v>
      </c>
      <c r="BA551" t="s">
        <v>74</v>
      </c>
      <c r="BB551">
        <v>328</v>
      </c>
      <c r="BC551">
        <v>341</v>
      </c>
      <c r="BD551" t="s">
        <v>74</v>
      </c>
      <c r="BE551" t="s">
        <v>8163</v>
      </c>
      <c r="BF551" t="str">
        <f>HYPERLINK("http://dx.doi.org/10.1111/j.1600-0870.2004.00060.x","http://dx.doi.org/10.1111/j.1600-0870.2004.00060.x")</f>
        <v>http://dx.doi.org/10.1111/j.1600-0870.2004.00060.x</v>
      </c>
      <c r="BG551" t="s">
        <v>74</v>
      </c>
      <c r="BH551" t="s">
        <v>74</v>
      </c>
      <c r="BI551">
        <v>14</v>
      </c>
      <c r="BJ551" t="s">
        <v>3323</v>
      </c>
      <c r="BK551" t="s">
        <v>139</v>
      </c>
      <c r="BL551" t="s">
        <v>3323</v>
      </c>
      <c r="BM551" t="s">
        <v>8164</v>
      </c>
      <c r="BN551" t="s">
        <v>74</v>
      </c>
      <c r="BO551" t="s">
        <v>8165</v>
      </c>
      <c r="BP551" t="s">
        <v>74</v>
      </c>
      <c r="BQ551" t="s">
        <v>74</v>
      </c>
      <c r="BR551" t="s">
        <v>98</v>
      </c>
      <c r="BS551" t="s">
        <v>8166</v>
      </c>
      <c r="BT551" t="str">
        <f>HYPERLINK("https%3A%2F%2Fwww.webofscience.com%2Fwos%2Fwoscc%2Ffull-record%2FWOS:000223204300007","View Full Record in Web of Science")</f>
        <v>View Full Record in Web of Science</v>
      </c>
    </row>
    <row r="552" spans="1:72" x14ac:dyDescent="0.15">
      <c r="A552" t="s">
        <v>122</v>
      </c>
      <c r="B552" t="s">
        <v>8167</v>
      </c>
      <c r="C552" t="s">
        <v>74</v>
      </c>
      <c r="D552" t="s">
        <v>74</v>
      </c>
      <c r="E552" t="s">
        <v>74</v>
      </c>
      <c r="F552" t="s">
        <v>8167</v>
      </c>
      <c r="G552" t="s">
        <v>74</v>
      </c>
      <c r="H552" t="s">
        <v>74</v>
      </c>
      <c r="I552" t="s">
        <v>8168</v>
      </c>
      <c r="J552" t="s">
        <v>8169</v>
      </c>
      <c r="K552" t="s">
        <v>74</v>
      </c>
      <c r="L552" t="s">
        <v>74</v>
      </c>
      <c r="M552" t="s">
        <v>79</v>
      </c>
      <c r="N552" t="s">
        <v>126</v>
      </c>
      <c r="O552" t="s">
        <v>74</v>
      </c>
      <c r="P552" t="s">
        <v>74</v>
      </c>
      <c r="Q552" t="s">
        <v>74</v>
      </c>
      <c r="R552" t="s">
        <v>74</v>
      </c>
      <c r="S552" t="s">
        <v>74</v>
      </c>
      <c r="T552" t="s">
        <v>74</v>
      </c>
      <c r="U552" t="s">
        <v>8170</v>
      </c>
      <c r="V552" t="s">
        <v>8171</v>
      </c>
      <c r="W552" t="s">
        <v>8172</v>
      </c>
      <c r="X552" t="s">
        <v>8173</v>
      </c>
      <c r="Y552" t="s">
        <v>8174</v>
      </c>
      <c r="Z552" t="s">
        <v>8175</v>
      </c>
      <c r="AA552" t="s">
        <v>74</v>
      </c>
      <c r="AB552" t="s">
        <v>74</v>
      </c>
      <c r="AC552" t="s">
        <v>74</v>
      </c>
      <c r="AD552" t="s">
        <v>74</v>
      </c>
      <c r="AE552" t="s">
        <v>74</v>
      </c>
      <c r="AF552" t="s">
        <v>74</v>
      </c>
      <c r="AG552">
        <v>30</v>
      </c>
      <c r="AH552">
        <v>12</v>
      </c>
      <c r="AI552">
        <v>16</v>
      </c>
      <c r="AJ552">
        <v>0</v>
      </c>
      <c r="AK552">
        <v>1</v>
      </c>
      <c r="AL552" t="s">
        <v>1571</v>
      </c>
      <c r="AM552" t="s">
        <v>1572</v>
      </c>
      <c r="AN552" t="s">
        <v>1573</v>
      </c>
      <c r="AO552" t="s">
        <v>8176</v>
      </c>
      <c r="AP552" t="s">
        <v>74</v>
      </c>
      <c r="AQ552" t="s">
        <v>74</v>
      </c>
      <c r="AR552" t="s">
        <v>8177</v>
      </c>
      <c r="AS552" t="s">
        <v>8178</v>
      </c>
      <c r="AT552" t="s">
        <v>7250</v>
      </c>
      <c r="AU552">
        <v>2004</v>
      </c>
      <c r="AV552">
        <v>19</v>
      </c>
      <c r="AW552">
        <v>4</v>
      </c>
      <c r="AX552" t="s">
        <v>74</v>
      </c>
      <c r="AY552" t="s">
        <v>74</v>
      </c>
      <c r="AZ552" t="s">
        <v>74</v>
      </c>
      <c r="BA552" t="s">
        <v>74</v>
      </c>
      <c r="BB552">
        <v>653</v>
      </c>
      <c r="BC552">
        <v>672</v>
      </c>
      <c r="BD552" t="s">
        <v>74</v>
      </c>
      <c r="BE552" t="s">
        <v>8179</v>
      </c>
      <c r="BF552" t="str">
        <f>HYPERLINK("http://dx.doi.org/10.1175/1520-0434(2004)019&lt;0653:ANMSOT&gt;2.0.CO;2","http://dx.doi.org/10.1175/1520-0434(2004)019&lt;0653:ANMSOT&gt;2.0.CO;2")</f>
        <v>http://dx.doi.org/10.1175/1520-0434(2004)019&lt;0653:ANMSOT&gt;2.0.CO;2</v>
      </c>
      <c r="BG552" t="s">
        <v>74</v>
      </c>
      <c r="BH552" t="s">
        <v>74</v>
      </c>
      <c r="BI552">
        <v>20</v>
      </c>
      <c r="BJ552" t="s">
        <v>291</v>
      </c>
      <c r="BK552" t="s">
        <v>139</v>
      </c>
      <c r="BL552" t="s">
        <v>291</v>
      </c>
      <c r="BM552" t="s">
        <v>8180</v>
      </c>
      <c r="BN552" t="s">
        <v>74</v>
      </c>
      <c r="BO552" t="s">
        <v>2236</v>
      </c>
      <c r="BP552" t="s">
        <v>74</v>
      </c>
      <c r="BQ552" t="s">
        <v>74</v>
      </c>
      <c r="BR552" t="s">
        <v>98</v>
      </c>
      <c r="BS552" t="s">
        <v>8181</v>
      </c>
      <c r="BT552" t="str">
        <f>HYPERLINK("https%3A%2F%2Fwww.webofscience.com%2Fwos%2Fwoscc%2Ffull-record%2FWOS:000223272000001","View Full Record in Web of Science")</f>
        <v>View Full Record in Web of Science</v>
      </c>
    </row>
    <row r="553" spans="1:72" x14ac:dyDescent="0.15">
      <c r="A553" t="s">
        <v>122</v>
      </c>
      <c r="B553" t="s">
        <v>8182</v>
      </c>
      <c r="C553" t="s">
        <v>74</v>
      </c>
      <c r="D553" t="s">
        <v>74</v>
      </c>
      <c r="E553" t="s">
        <v>74</v>
      </c>
      <c r="F553" t="s">
        <v>8182</v>
      </c>
      <c r="G553" t="s">
        <v>74</v>
      </c>
      <c r="H553" t="s">
        <v>74</v>
      </c>
      <c r="I553" t="s">
        <v>8183</v>
      </c>
      <c r="J553" t="s">
        <v>230</v>
      </c>
      <c r="K553" t="s">
        <v>74</v>
      </c>
      <c r="L553" t="s">
        <v>74</v>
      </c>
      <c r="M553" t="s">
        <v>79</v>
      </c>
      <c r="N553" t="s">
        <v>126</v>
      </c>
      <c r="O553" t="s">
        <v>74</v>
      </c>
      <c r="P553" t="s">
        <v>74</v>
      </c>
      <c r="Q553" t="s">
        <v>74</v>
      </c>
      <c r="R553" t="s">
        <v>74</v>
      </c>
      <c r="S553" t="s">
        <v>74</v>
      </c>
      <c r="T553" t="s">
        <v>74</v>
      </c>
      <c r="U553" t="s">
        <v>8184</v>
      </c>
      <c r="V553" t="s">
        <v>8185</v>
      </c>
      <c r="W553" t="s">
        <v>8186</v>
      </c>
      <c r="X553" t="s">
        <v>8187</v>
      </c>
      <c r="Y553" t="s">
        <v>8188</v>
      </c>
      <c r="Z553" t="s">
        <v>8189</v>
      </c>
      <c r="AA553" t="s">
        <v>8190</v>
      </c>
      <c r="AB553" t="s">
        <v>8191</v>
      </c>
      <c r="AC553" t="s">
        <v>74</v>
      </c>
      <c r="AD553" t="s">
        <v>74</v>
      </c>
      <c r="AE553" t="s">
        <v>74</v>
      </c>
      <c r="AF553" t="s">
        <v>74</v>
      </c>
      <c r="AG553">
        <v>31</v>
      </c>
      <c r="AH553">
        <v>184</v>
      </c>
      <c r="AI553">
        <v>206</v>
      </c>
      <c r="AJ553">
        <v>1</v>
      </c>
      <c r="AK553">
        <v>16</v>
      </c>
      <c r="AL553" t="s">
        <v>239</v>
      </c>
      <c r="AM553" t="s">
        <v>240</v>
      </c>
      <c r="AN553" t="s">
        <v>241</v>
      </c>
      <c r="AO553" t="s">
        <v>242</v>
      </c>
      <c r="AP553" t="s">
        <v>341</v>
      </c>
      <c r="AQ553" t="s">
        <v>74</v>
      </c>
      <c r="AR553" t="s">
        <v>243</v>
      </c>
      <c r="AS553" t="s">
        <v>244</v>
      </c>
      <c r="AT553" t="s">
        <v>8192</v>
      </c>
      <c r="AU553">
        <v>2004</v>
      </c>
      <c r="AV553">
        <v>31</v>
      </c>
      <c r="AW553">
        <v>14</v>
      </c>
      <c r="AX553" t="s">
        <v>74</v>
      </c>
      <c r="AY553" t="s">
        <v>74</v>
      </c>
      <c r="AZ553" t="s">
        <v>74</v>
      </c>
      <c r="BA553" t="s">
        <v>74</v>
      </c>
      <c r="BB553" t="s">
        <v>74</v>
      </c>
      <c r="BC553" t="s">
        <v>74</v>
      </c>
      <c r="BD553" t="s">
        <v>8193</v>
      </c>
      <c r="BE553" t="s">
        <v>8194</v>
      </c>
      <c r="BF553" t="str">
        <f>HYPERLINK("http://dx.doi.org/10.1029/2004GL019952","http://dx.doi.org/10.1029/2004GL019952")</f>
        <v>http://dx.doi.org/10.1029/2004GL019952</v>
      </c>
      <c r="BG553" t="s">
        <v>74</v>
      </c>
      <c r="BH553" t="s">
        <v>74</v>
      </c>
      <c r="BI553">
        <v>4</v>
      </c>
      <c r="BJ553" t="s">
        <v>248</v>
      </c>
      <c r="BK553" t="s">
        <v>139</v>
      </c>
      <c r="BL553" t="s">
        <v>249</v>
      </c>
      <c r="BM553" t="s">
        <v>8195</v>
      </c>
      <c r="BN553" t="s">
        <v>74</v>
      </c>
      <c r="BO553" t="s">
        <v>74</v>
      </c>
      <c r="BP553" t="s">
        <v>74</v>
      </c>
      <c r="BQ553" t="s">
        <v>74</v>
      </c>
      <c r="BR553" t="s">
        <v>98</v>
      </c>
      <c r="BS553" t="s">
        <v>8196</v>
      </c>
      <c r="BT553" t="str">
        <f>HYPERLINK("https%3A%2F%2Fwww.webofscience.com%2Fwos%2Fwoscc%2Ffull-record%2FWOS:000223185300002","View Full Record in Web of Science")</f>
        <v>View Full Record in Web of Science</v>
      </c>
    </row>
    <row r="554" spans="1:72" x14ac:dyDescent="0.15">
      <c r="A554" t="s">
        <v>122</v>
      </c>
      <c r="B554" t="s">
        <v>8197</v>
      </c>
      <c r="C554" t="s">
        <v>74</v>
      </c>
      <c r="D554" t="s">
        <v>74</v>
      </c>
      <c r="E554" t="s">
        <v>74</v>
      </c>
      <c r="F554" t="s">
        <v>8197</v>
      </c>
      <c r="G554" t="s">
        <v>74</v>
      </c>
      <c r="H554" t="s">
        <v>74</v>
      </c>
      <c r="I554" t="s">
        <v>8198</v>
      </c>
      <c r="J554" t="s">
        <v>230</v>
      </c>
      <c r="K554" t="s">
        <v>74</v>
      </c>
      <c r="L554" t="s">
        <v>74</v>
      </c>
      <c r="M554" t="s">
        <v>79</v>
      </c>
      <c r="N554" t="s">
        <v>126</v>
      </c>
      <c r="O554" t="s">
        <v>74</v>
      </c>
      <c r="P554" t="s">
        <v>74</v>
      </c>
      <c r="Q554" t="s">
        <v>74</v>
      </c>
      <c r="R554" t="s">
        <v>74</v>
      </c>
      <c r="S554" t="s">
        <v>74</v>
      </c>
      <c r="T554" t="s">
        <v>74</v>
      </c>
      <c r="U554" t="s">
        <v>8199</v>
      </c>
      <c r="V554" t="s">
        <v>8200</v>
      </c>
      <c r="W554" t="s">
        <v>8201</v>
      </c>
      <c r="X554" t="s">
        <v>8202</v>
      </c>
      <c r="Y554" t="s">
        <v>8203</v>
      </c>
      <c r="Z554" t="s">
        <v>8204</v>
      </c>
      <c r="AA554" t="s">
        <v>8205</v>
      </c>
      <c r="AB554" t="s">
        <v>8206</v>
      </c>
      <c r="AC554" t="s">
        <v>74</v>
      </c>
      <c r="AD554" t="s">
        <v>74</v>
      </c>
      <c r="AE554" t="s">
        <v>74</v>
      </c>
      <c r="AF554" t="s">
        <v>74</v>
      </c>
      <c r="AG554">
        <v>25</v>
      </c>
      <c r="AH554">
        <v>29</v>
      </c>
      <c r="AI554">
        <v>29</v>
      </c>
      <c r="AJ554">
        <v>0</v>
      </c>
      <c r="AK554">
        <v>6</v>
      </c>
      <c r="AL554" t="s">
        <v>239</v>
      </c>
      <c r="AM554" t="s">
        <v>240</v>
      </c>
      <c r="AN554" t="s">
        <v>241</v>
      </c>
      <c r="AO554" t="s">
        <v>242</v>
      </c>
      <c r="AP554" t="s">
        <v>341</v>
      </c>
      <c r="AQ554" t="s">
        <v>74</v>
      </c>
      <c r="AR554" t="s">
        <v>243</v>
      </c>
      <c r="AS554" t="s">
        <v>244</v>
      </c>
      <c r="AT554" t="s">
        <v>8192</v>
      </c>
      <c r="AU554">
        <v>2004</v>
      </c>
      <c r="AV554">
        <v>31</v>
      </c>
      <c r="AW554">
        <v>14</v>
      </c>
      <c r="AX554" t="s">
        <v>74</v>
      </c>
      <c r="AY554" t="s">
        <v>74</v>
      </c>
      <c r="AZ554" t="s">
        <v>74</v>
      </c>
      <c r="BA554" t="s">
        <v>74</v>
      </c>
      <c r="BB554" t="s">
        <v>74</v>
      </c>
      <c r="BC554" t="s">
        <v>74</v>
      </c>
      <c r="BD554" t="s">
        <v>8207</v>
      </c>
      <c r="BE554" t="s">
        <v>8208</v>
      </c>
      <c r="BF554" t="str">
        <f>HYPERLINK("http://dx.doi.org/10.1029/2004GL019764","http://dx.doi.org/10.1029/2004GL019764")</f>
        <v>http://dx.doi.org/10.1029/2004GL019764</v>
      </c>
      <c r="BG554" t="s">
        <v>74</v>
      </c>
      <c r="BH554" t="s">
        <v>74</v>
      </c>
      <c r="BI554">
        <v>4</v>
      </c>
      <c r="BJ554" t="s">
        <v>248</v>
      </c>
      <c r="BK554" t="s">
        <v>139</v>
      </c>
      <c r="BL554" t="s">
        <v>249</v>
      </c>
      <c r="BM554" t="s">
        <v>8195</v>
      </c>
      <c r="BN554" t="s">
        <v>74</v>
      </c>
      <c r="BO554" t="s">
        <v>329</v>
      </c>
      <c r="BP554" t="s">
        <v>74</v>
      </c>
      <c r="BQ554" t="s">
        <v>74</v>
      </c>
      <c r="BR554" t="s">
        <v>98</v>
      </c>
      <c r="BS554" t="s">
        <v>8209</v>
      </c>
      <c r="BT554" t="str">
        <f>HYPERLINK("https%3A%2F%2Fwww.webofscience.com%2Fwos%2Fwoscc%2Ffull-record%2FWOS:000223185300001","View Full Record in Web of Science")</f>
        <v>View Full Record in Web of Science</v>
      </c>
    </row>
    <row r="555" spans="1:72" x14ac:dyDescent="0.15">
      <c r="A555" t="s">
        <v>122</v>
      </c>
      <c r="B555" t="s">
        <v>8210</v>
      </c>
      <c r="C555" t="s">
        <v>74</v>
      </c>
      <c r="D555" t="s">
        <v>74</v>
      </c>
      <c r="E555" t="s">
        <v>74</v>
      </c>
      <c r="F555" t="s">
        <v>8210</v>
      </c>
      <c r="G555" t="s">
        <v>74</v>
      </c>
      <c r="H555" t="s">
        <v>74</v>
      </c>
      <c r="I555" t="s">
        <v>8211</v>
      </c>
      <c r="J555" t="s">
        <v>365</v>
      </c>
      <c r="K555" t="s">
        <v>74</v>
      </c>
      <c r="L555" t="s">
        <v>74</v>
      </c>
      <c r="M555" t="s">
        <v>79</v>
      </c>
      <c r="N555" t="s">
        <v>840</v>
      </c>
      <c r="O555" t="s">
        <v>74</v>
      </c>
      <c r="P555" t="s">
        <v>74</v>
      </c>
      <c r="Q555" t="s">
        <v>74</v>
      </c>
      <c r="R555" t="s">
        <v>74</v>
      </c>
      <c r="S555" t="s">
        <v>74</v>
      </c>
      <c r="T555" t="s">
        <v>74</v>
      </c>
      <c r="U555" t="s">
        <v>74</v>
      </c>
      <c r="V555" t="s">
        <v>74</v>
      </c>
      <c r="W555" t="s">
        <v>74</v>
      </c>
      <c r="X555" t="s">
        <v>74</v>
      </c>
      <c r="Y555" t="s">
        <v>74</v>
      </c>
      <c r="Z555" t="s">
        <v>74</v>
      </c>
      <c r="AA555" t="s">
        <v>74</v>
      </c>
      <c r="AB555" t="s">
        <v>74</v>
      </c>
      <c r="AC555" t="s">
        <v>74</v>
      </c>
      <c r="AD555" t="s">
        <v>74</v>
      </c>
      <c r="AE555" t="s">
        <v>74</v>
      </c>
      <c r="AF555" t="s">
        <v>74</v>
      </c>
      <c r="AG555">
        <v>0</v>
      </c>
      <c r="AH555">
        <v>2</v>
      </c>
      <c r="AI555">
        <v>2</v>
      </c>
      <c r="AJ555">
        <v>0</v>
      </c>
      <c r="AK555">
        <v>1</v>
      </c>
      <c r="AL555" t="s">
        <v>374</v>
      </c>
      <c r="AM555" t="s">
        <v>375</v>
      </c>
      <c r="AN555" t="s">
        <v>376</v>
      </c>
      <c r="AO555" t="s">
        <v>377</v>
      </c>
      <c r="AP555" t="s">
        <v>74</v>
      </c>
      <c r="AQ555" t="s">
        <v>74</v>
      </c>
      <c r="AR555" t="s">
        <v>365</v>
      </c>
      <c r="AS555" t="s">
        <v>379</v>
      </c>
      <c r="AT555" t="s">
        <v>8212</v>
      </c>
      <c r="AU555">
        <v>2004</v>
      </c>
      <c r="AV555">
        <v>430</v>
      </c>
      <c r="AW555">
        <v>6999</v>
      </c>
      <c r="AX555" t="s">
        <v>74</v>
      </c>
      <c r="AY555" t="s">
        <v>74</v>
      </c>
      <c r="AZ555" t="s">
        <v>74</v>
      </c>
      <c r="BA555" t="s">
        <v>74</v>
      </c>
      <c r="BB555">
        <v>494</v>
      </c>
      <c r="BC555">
        <v>494</v>
      </c>
      <c r="BD555" t="s">
        <v>74</v>
      </c>
      <c r="BE555" t="s">
        <v>8213</v>
      </c>
      <c r="BF555" t="str">
        <f>HYPERLINK("http://dx.doi.org/10.1038/430494b","http://dx.doi.org/10.1038/430494b")</f>
        <v>http://dx.doi.org/10.1038/430494b</v>
      </c>
      <c r="BG555" t="s">
        <v>74</v>
      </c>
      <c r="BH555" t="s">
        <v>74</v>
      </c>
      <c r="BI555">
        <v>1</v>
      </c>
      <c r="BJ555" t="s">
        <v>381</v>
      </c>
      <c r="BK555" t="s">
        <v>139</v>
      </c>
      <c r="BL555" t="s">
        <v>382</v>
      </c>
      <c r="BM555" t="s">
        <v>8214</v>
      </c>
      <c r="BN555">
        <v>15282572</v>
      </c>
      <c r="BO555" t="s">
        <v>273</v>
      </c>
      <c r="BP555" t="s">
        <v>74</v>
      </c>
      <c r="BQ555" t="s">
        <v>74</v>
      </c>
      <c r="BR555" t="s">
        <v>98</v>
      </c>
      <c r="BS555" t="s">
        <v>8215</v>
      </c>
      <c r="BT555" t="str">
        <f>HYPERLINK("https%3A%2F%2Fwww.webofscience.com%2Fwos%2Fwoscc%2Ffull-record%2FWOS:000222946100010","View Full Record in Web of Science")</f>
        <v>View Full Record in Web of Science</v>
      </c>
    </row>
    <row r="556" spans="1:72" x14ac:dyDescent="0.15">
      <c r="A556" t="s">
        <v>122</v>
      </c>
      <c r="B556" t="s">
        <v>8216</v>
      </c>
      <c r="C556" t="s">
        <v>74</v>
      </c>
      <c r="D556" t="s">
        <v>74</v>
      </c>
      <c r="E556" t="s">
        <v>74</v>
      </c>
      <c r="F556" t="s">
        <v>8216</v>
      </c>
      <c r="G556" t="s">
        <v>74</v>
      </c>
      <c r="H556" t="s">
        <v>74</v>
      </c>
      <c r="I556" t="s">
        <v>8217</v>
      </c>
      <c r="J556" t="s">
        <v>643</v>
      </c>
      <c r="K556" t="s">
        <v>74</v>
      </c>
      <c r="L556" t="s">
        <v>74</v>
      </c>
      <c r="M556" t="s">
        <v>79</v>
      </c>
      <c r="N556" t="s">
        <v>126</v>
      </c>
      <c r="O556" t="s">
        <v>74</v>
      </c>
      <c r="P556" t="s">
        <v>74</v>
      </c>
      <c r="Q556" t="s">
        <v>74</v>
      </c>
      <c r="R556" t="s">
        <v>74</v>
      </c>
      <c r="S556" t="s">
        <v>74</v>
      </c>
      <c r="T556" t="s">
        <v>8218</v>
      </c>
      <c r="U556" t="s">
        <v>8219</v>
      </c>
      <c r="V556" t="s">
        <v>8220</v>
      </c>
      <c r="W556" t="s">
        <v>8221</v>
      </c>
      <c r="X556" t="s">
        <v>8222</v>
      </c>
      <c r="Y556" t="s">
        <v>8223</v>
      </c>
      <c r="Z556" t="s">
        <v>8224</v>
      </c>
      <c r="AA556" t="s">
        <v>8225</v>
      </c>
      <c r="AB556" t="s">
        <v>74</v>
      </c>
      <c r="AC556" t="s">
        <v>74</v>
      </c>
      <c r="AD556" t="s">
        <v>74</v>
      </c>
      <c r="AE556" t="s">
        <v>74</v>
      </c>
      <c r="AF556" t="s">
        <v>74</v>
      </c>
      <c r="AG556">
        <v>29</v>
      </c>
      <c r="AH556">
        <v>35</v>
      </c>
      <c r="AI556">
        <v>39</v>
      </c>
      <c r="AJ556">
        <v>0</v>
      </c>
      <c r="AK556">
        <v>5</v>
      </c>
      <c r="AL556" t="s">
        <v>239</v>
      </c>
      <c r="AM556" t="s">
        <v>240</v>
      </c>
      <c r="AN556" t="s">
        <v>241</v>
      </c>
      <c r="AO556" t="s">
        <v>653</v>
      </c>
      <c r="AP556" t="s">
        <v>654</v>
      </c>
      <c r="AQ556" t="s">
        <v>74</v>
      </c>
      <c r="AR556" t="s">
        <v>655</v>
      </c>
      <c r="AS556" t="s">
        <v>656</v>
      </c>
      <c r="AT556" t="s">
        <v>8226</v>
      </c>
      <c r="AU556">
        <v>2004</v>
      </c>
      <c r="AV556">
        <v>109</v>
      </c>
      <c r="AW556" t="s">
        <v>8227</v>
      </c>
      <c r="AX556" t="s">
        <v>74</v>
      </c>
      <c r="AY556" t="s">
        <v>74</v>
      </c>
      <c r="AZ556" t="s">
        <v>74</v>
      </c>
      <c r="BA556" t="s">
        <v>74</v>
      </c>
      <c r="BB556" t="s">
        <v>74</v>
      </c>
      <c r="BC556" t="s">
        <v>74</v>
      </c>
      <c r="BD556" t="s">
        <v>8228</v>
      </c>
      <c r="BE556" t="s">
        <v>8229</v>
      </c>
      <c r="BF556" t="str">
        <f>HYPERLINK("http://dx.doi.org/10.1029/2003JC002242","http://dx.doi.org/10.1029/2003JC002242")</f>
        <v>http://dx.doi.org/10.1029/2003JC002242</v>
      </c>
      <c r="BG556" t="s">
        <v>74</v>
      </c>
      <c r="BH556" t="s">
        <v>74</v>
      </c>
      <c r="BI556">
        <v>10</v>
      </c>
      <c r="BJ556" t="s">
        <v>660</v>
      </c>
      <c r="BK556" t="s">
        <v>139</v>
      </c>
      <c r="BL556" t="s">
        <v>660</v>
      </c>
      <c r="BM556" t="s">
        <v>8230</v>
      </c>
      <c r="BN556" t="s">
        <v>74</v>
      </c>
      <c r="BO556" t="s">
        <v>329</v>
      </c>
      <c r="BP556" t="s">
        <v>74</v>
      </c>
      <c r="BQ556" t="s">
        <v>74</v>
      </c>
      <c r="BR556" t="s">
        <v>98</v>
      </c>
      <c r="BS556" t="s">
        <v>8231</v>
      </c>
      <c r="BT556" t="str">
        <f>HYPERLINK("https%3A%2F%2Fwww.webofscience.com%2Fwos%2Fwoscc%2Ffull-record%2FWOS:000222917300003","View Full Record in Web of Science")</f>
        <v>View Full Record in Web of Science</v>
      </c>
    </row>
    <row r="557" spans="1:72" x14ac:dyDescent="0.15">
      <c r="A557" t="s">
        <v>122</v>
      </c>
      <c r="B557" t="s">
        <v>8232</v>
      </c>
      <c r="C557" t="s">
        <v>74</v>
      </c>
      <c r="D557" t="s">
        <v>74</v>
      </c>
      <c r="E557" t="s">
        <v>74</v>
      </c>
      <c r="F557" t="s">
        <v>8232</v>
      </c>
      <c r="G557" t="s">
        <v>74</v>
      </c>
      <c r="H557" t="s">
        <v>74</v>
      </c>
      <c r="I557" t="s">
        <v>8233</v>
      </c>
      <c r="J557" t="s">
        <v>8234</v>
      </c>
      <c r="K557" t="s">
        <v>74</v>
      </c>
      <c r="L557" t="s">
        <v>74</v>
      </c>
      <c r="M557" t="s">
        <v>79</v>
      </c>
      <c r="N557" t="s">
        <v>126</v>
      </c>
      <c r="O557" t="s">
        <v>74</v>
      </c>
      <c r="P557" t="s">
        <v>74</v>
      </c>
      <c r="Q557" t="s">
        <v>74</v>
      </c>
      <c r="R557" t="s">
        <v>74</v>
      </c>
      <c r="S557" t="s">
        <v>74</v>
      </c>
      <c r="T557" t="s">
        <v>8235</v>
      </c>
      <c r="U557" t="s">
        <v>8236</v>
      </c>
      <c r="V557" t="s">
        <v>8237</v>
      </c>
      <c r="W557" t="s">
        <v>8238</v>
      </c>
      <c r="X557" t="s">
        <v>8239</v>
      </c>
      <c r="Y557" t="s">
        <v>8240</v>
      </c>
      <c r="Z557" t="s">
        <v>8241</v>
      </c>
      <c r="AA557" t="s">
        <v>8242</v>
      </c>
      <c r="AB557" t="s">
        <v>8243</v>
      </c>
      <c r="AC557" t="s">
        <v>74</v>
      </c>
      <c r="AD557" t="s">
        <v>74</v>
      </c>
      <c r="AE557" t="s">
        <v>74</v>
      </c>
      <c r="AF557" t="s">
        <v>74</v>
      </c>
      <c r="AG557">
        <v>40</v>
      </c>
      <c r="AH557">
        <v>28</v>
      </c>
      <c r="AI557">
        <v>32</v>
      </c>
      <c r="AJ557">
        <v>1</v>
      </c>
      <c r="AK557">
        <v>16</v>
      </c>
      <c r="AL557" t="s">
        <v>562</v>
      </c>
      <c r="AM557" t="s">
        <v>532</v>
      </c>
      <c r="AN557" t="s">
        <v>563</v>
      </c>
      <c r="AO557" t="s">
        <v>8244</v>
      </c>
      <c r="AP557" t="s">
        <v>8245</v>
      </c>
      <c r="AQ557" t="s">
        <v>74</v>
      </c>
      <c r="AR557" t="s">
        <v>8234</v>
      </c>
      <c r="AS557" t="s">
        <v>8246</v>
      </c>
      <c r="AT557" t="s">
        <v>8247</v>
      </c>
      <c r="AU557">
        <v>2004</v>
      </c>
      <c r="AV557">
        <v>336</v>
      </c>
      <c r="AW557">
        <v>2</v>
      </c>
      <c r="AX557" t="s">
        <v>74</v>
      </c>
      <c r="AY557" t="s">
        <v>74</v>
      </c>
      <c r="AZ557" t="s">
        <v>74</v>
      </c>
      <c r="BA557" t="s">
        <v>74</v>
      </c>
      <c r="BB557">
        <v>195</v>
      </c>
      <c r="BC557">
        <v>205</v>
      </c>
      <c r="BD557" t="s">
        <v>74</v>
      </c>
      <c r="BE557" t="s">
        <v>8248</v>
      </c>
      <c r="BF557" t="str">
        <f>HYPERLINK("http://dx.doi.org/10.1016/j.gene.2004.04.030","http://dx.doi.org/10.1016/j.gene.2004.04.030")</f>
        <v>http://dx.doi.org/10.1016/j.gene.2004.04.030</v>
      </c>
      <c r="BG557" t="s">
        <v>74</v>
      </c>
      <c r="BH557" t="s">
        <v>74</v>
      </c>
      <c r="BI557">
        <v>11</v>
      </c>
      <c r="BJ557" t="s">
        <v>8249</v>
      </c>
      <c r="BK557" t="s">
        <v>139</v>
      </c>
      <c r="BL557" t="s">
        <v>8249</v>
      </c>
      <c r="BM557" t="s">
        <v>8250</v>
      </c>
      <c r="BN557">
        <v>15246531</v>
      </c>
      <c r="BO557" t="s">
        <v>74</v>
      </c>
      <c r="BP557" t="s">
        <v>74</v>
      </c>
      <c r="BQ557" t="s">
        <v>74</v>
      </c>
      <c r="BR557" t="s">
        <v>98</v>
      </c>
      <c r="BS557" t="s">
        <v>8251</v>
      </c>
      <c r="BT557" t="str">
        <f>HYPERLINK("https%3A%2F%2Fwww.webofscience.com%2Fwos%2Fwoscc%2Ffull-record%2FWOS:000223034100006","View Full Record in Web of Science")</f>
        <v>View Full Record in Web of Science</v>
      </c>
    </row>
    <row r="558" spans="1:72" x14ac:dyDescent="0.15">
      <c r="A558" t="s">
        <v>122</v>
      </c>
      <c r="B558" t="s">
        <v>8252</v>
      </c>
      <c r="C558" t="s">
        <v>74</v>
      </c>
      <c r="D558" t="s">
        <v>74</v>
      </c>
      <c r="E558" t="s">
        <v>74</v>
      </c>
      <c r="F558" t="s">
        <v>8252</v>
      </c>
      <c r="G558" t="s">
        <v>74</v>
      </c>
      <c r="H558" t="s">
        <v>74</v>
      </c>
      <c r="I558" t="s">
        <v>8253</v>
      </c>
      <c r="J558" t="s">
        <v>8254</v>
      </c>
      <c r="K558" t="s">
        <v>74</v>
      </c>
      <c r="L558" t="s">
        <v>74</v>
      </c>
      <c r="M558" t="s">
        <v>79</v>
      </c>
      <c r="N558" t="s">
        <v>126</v>
      </c>
      <c r="O558" t="s">
        <v>74</v>
      </c>
      <c r="P558" t="s">
        <v>74</v>
      </c>
      <c r="Q558" t="s">
        <v>74</v>
      </c>
      <c r="R558" t="s">
        <v>74</v>
      </c>
      <c r="S558" t="s">
        <v>74</v>
      </c>
      <c r="T558" t="s">
        <v>8255</v>
      </c>
      <c r="U558" t="s">
        <v>8256</v>
      </c>
      <c r="V558" t="s">
        <v>8257</v>
      </c>
      <c r="W558" t="s">
        <v>8258</v>
      </c>
      <c r="X558" t="s">
        <v>8259</v>
      </c>
      <c r="Y558" t="s">
        <v>8260</v>
      </c>
      <c r="Z558" t="s">
        <v>8261</v>
      </c>
      <c r="AA558" t="s">
        <v>8262</v>
      </c>
      <c r="AB558" t="s">
        <v>8263</v>
      </c>
      <c r="AC558" t="s">
        <v>74</v>
      </c>
      <c r="AD558" t="s">
        <v>74</v>
      </c>
      <c r="AE558" t="s">
        <v>74</v>
      </c>
      <c r="AF558" t="s">
        <v>74</v>
      </c>
      <c r="AG558">
        <v>50</v>
      </c>
      <c r="AH558">
        <v>33</v>
      </c>
      <c r="AI558">
        <v>39</v>
      </c>
      <c r="AJ558">
        <v>0</v>
      </c>
      <c r="AK558">
        <v>15</v>
      </c>
      <c r="AL558" t="s">
        <v>8264</v>
      </c>
      <c r="AM558" t="s">
        <v>8265</v>
      </c>
      <c r="AN558" t="s">
        <v>8266</v>
      </c>
      <c r="AO558" t="s">
        <v>8267</v>
      </c>
      <c r="AP558" t="s">
        <v>74</v>
      </c>
      <c r="AQ558" t="s">
        <v>74</v>
      </c>
      <c r="AR558" t="s">
        <v>8268</v>
      </c>
      <c r="AS558" t="s">
        <v>8269</v>
      </c>
      <c r="AT558" t="s">
        <v>8270</v>
      </c>
      <c r="AU558">
        <v>2004</v>
      </c>
      <c r="AV558">
        <v>75</v>
      </c>
      <c r="AW558" t="s">
        <v>2537</v>
      </c>
      <c r="AX558" t="s">
        <v>74</v>
      </c>
      <c r="AY558" t="s">
        <v>74</v>
      </c>
      <c r="AZ558" t="s">
        <v>74</v>
      </c>
      <c r="BA558" t="s">
        <v>74</v>
      </c>
      <c r="BB558">
        <v>63</v>
      </c>
      <c r="BC558">
        <v>71</v>
      </c>
      <c r="BD558" t="s">
        <v>74</v>
      </c>
      <c r="BE558" t="s">
        <v>8271</v>
      </c>
      <c r="BF558" t="str">
        <f>HYPERLINK("http://dx.doi.org/10.1016/j.jphotobiol.2004.05.006","http://dx.doi.org/10.1016/j.jphotobiol.2004.05.006")</f>
        <v>http://dx.doi.org/10.1016/j.jphotobiol.2004.05.006</v>
      </c>
      <c r="BG558" t="s">
        <v>74</v>
      </c>
      <c r="BH558" t="s">
        <v>74</v>
      </c>
      <c r="BI558">
        <v>9</v>
      </c>
      <c r="BJ558" t="s">
        <v>4205</v>
      </c>
      <c r="BK558" t="s">
        <v>139</v>
      </c>
      <c r="BL558" t="s">
        <v>4205</v>
      </c>
      <c r="BM558" t="s">
        <v>8272</v>
      </c>
      <c r="BN558">
        <v>15246352</v>
      </c>
      <c r="BO558" t="s">
        <v>74</v>
      </c>
      <c r="BP558" t="s">
        <v>74</v>
      </c>
      <c r="BQ558" t="s">
        <v>74</v>
      </c>
      <c r="BR558" t="s">
        <v>98</v>
      </c>
      <c r="BS558" t="s">
        <v>8273</v>
      </c>
      <c r="BT558" t="str">
        <f>HYPERLINK("https%3A%2F%2Fwww.webofscience.com%2Fwos%2Fwoscc%2Ffull-record%2FWOS:000222926200009","View Full Record in Web of Science")</f>
        <v>View Full Record in Web of Science</v>
      </c>
    </row>
    <row r="559" spans="1:72" x14ac:dyDescent="0.15">
      <c r="A559" t="s">
        <v>122</v>
      </c>
      <c r="B559" t="s">
        <v>8274</v>
      </c>
      <c r="C559" t="s">
        <v>74</v>
      </c>
      <c r="D559" t="s">
        <v>74</v>
      </c>
      <c r="E559" t="s">
        <v>74</v>
      </c>
      <c r="F559" t="s">
        <v>8274</v>
      </c>
      <c r="G559" t="s">
        <v>74</v>
      </c>
      <c r="H559" t="s">
        <v>74</v>
      </c>
      <c r="I559" t="s">
        <v>8275</v>
      </c>
      <c r="J559" t="s">
        <v>230</v>
      </c>
      <c r="K559" t="s">
        <v>74</v>
      </c>
      <c r="L559" t="s">
        <v>74</v>
      </c>
      <c r="M559" t="s">
        <v>79</v>
      </c>
      <c r="N559" t="s">
        <v>126</v>
      </c>
      <c r="O559" t="s">
        <v>74</v>
      </c>
      <c r="P559" t="s">
        <v>74</v>
      </c>
      <c r="Q559" t="s">
        <v>74</v>
      </c>
      <c r="R559" t="s">
        <v>74</v>
      </c>
      <c r="S559" t="s">
        <v>74</v>
      </c>
      <c r="T559" t="s">
        <v>74</v>
      </c>
      <c r="U559" t="s">
        <v>8276</v>
      </c>
      <c r="V559" t="s">
        <v>8277</v>
      </c>
      <c r="W559" t="s">
        <v>8278</v>
      </c>
      <c r="X559" t="s">
        <v>8279</v>
      </c>
      <c r="Y559" t="s">
        <v>8280</v>
      </c>
      <c r="Z559" t="s">
        <v>8281</v>
      </c>
      <c r="AA559" t="s">
        <v>8282</v>
      </c>
      <c r="AB559" t="s">
        <v>8283</v>
      </c>
      <c r="AC559" t="s">
        <v>74</v>
      </c>
      <c r="AD559" t="s">
        <v>74</v>
      </c>
      <c r="AE559" t="s">
        <v>74</v>
      </c>
      <c r="AF559" t="s">
        <v>74</v>
      </c>
      <c r="AG559">
        <v>17</v>
      </c>
      <c r="AH559">
        <v>75</v>
      </c>
      <c r="AI559">
        <v>77</v>
      </c>
      <c r="AJ559">
        <v>0</v>
      </c>
      <c r="AK559">
        <v>2</v>
      </c>
      <c r="AL559" t="s">
        <v>239</v>
      </c>
      <c r="AM559" t="s">
        <v>240</v>
      </c>
      <c r="AN559" t="s">
        <v>241</v>
      </c>
      <c r="AO559" t="s">
        <v>242</v>
      </c>
      <c r="AP559" t="s">
        <v>341</v>
      </c>
      <c r="AQ559" t="s">
        <v>74</v>
      </c>
      <c r="AR559" t="s">
        <v>243</v>
      </c>
      <c r="AS559" t="s">
        <v>244</v>
      </c>
      <c r="AT559" t="s">
        <v>8284</v>
      </c>
      <c r="AU559">
        <v>2004</v>
      </c>
      <c r="AV559">
        <v>31</v>
      </c>
      <c r="AW559">
        <v>14</v>
      </c>
      <c r="AX559" t="s">
        <v>74</v>
      </c>
      <c r="AY559" t="s">
        <v>74</v>
      </c>
      <c r="AZ559" t="s">
        <v>74</v>
      </c>
      <c r="BA559" t="s">
        <v>74</v>
      </c>
      <c r="BB559" t="s">
        <v>74</v>
      </c>
      <c r="BC559" t="s">
        <v>74</v>
      </c>
      <c r="BD559" t="s">
        <v>8285</v>
      </c>
      <c r="BE559" t="s">
        <v>8286</v>
      </c>
      <c r="BF559" t="str">
        <f>HYPERLINK("http://dx.doi.org/10.1029/2004GL020282","http://dx.doi.org/10.1029/2004GL020282")</f>
        <v>http://dx.doi.org/10.1029/2004GL020282</v>
      </c>
      <c r="BG559" t="s">
        <v>74</v>
      </c>
      <c r="BH559" t="s">
        <v>74</v>
      </c>
      <c r="BI559">
        <v>4</v>
      </c>
      <c r="BJ559" t="s">
        <v>248</v>
      </c>
      <c r="BK559" t="s">
        <v>139</v>
      </c>
      <c r="BL559" t="s">
        <v>249</v>
      </c>
      <c r="BM559" t="s">
        <v>8287</v>
      </c>
      <c r="BN559" t="s">
        <v>74</v>
      </c>
      <c r="BO559" t="s">
        <v>74</v>
      </c>
      <c r="BP559" t="s">
        <v>74</v>
      </c>
      <c r="BQ559" t="s">
        <v>74</v>
      </c>
      <c r="BR559" t="s">
        <v>98</v>
      </c>
      <c r="BS559" t="s">
        <v>8288</v>
      </c>
      <c r="BT559" t="str">
        <f>HYPERLINK("https%3A%2F%2Fwww.webofscience.com%2Fwos%2Fwoscc%2Ffull-record%2FWOS:000222797100006","View Full Record in Web of Science")</f>
        <v>View Full Record in Web of Science</v>
      </c>
    </row>
    <row r="560" spans="1:72" x14ac:dyDescent="0.15">
      <c r="A560" t="s">
        <v>122</v>
      </c>
      <c r="B560" t="s">
        <v>8289</v>
      </c>
      <c r="C560" t="s">
        <v>74</v>
      </c>
      <c r="D560" t="s">
        <v>74</v>
      </c>
      <c r="E560" t="s">
        <v>74</v>
      </c>
      <c r="F560" t="s">
        <v>8289</v>
      </c>
      <c r="G560" t="s">
        <v>74</v>
      </c>
      <c r="H560" t="s">
        <v>74</v>
      </c>
      <c r="I560" t="s">
        <v>8290</v>
      </c>
      <c r="J560" t="s">
        <v>230</v>
      </c>
      <c r="K560" t="s">
        <v>74</v>
      </c>
      <c r="L560" t="s">
        <v>74</v>
      </c>
      <c r="M560" t="s">
        <v>79</v>
      </c>
      <c r="N560" t="s">
        <v>126</v>
      </c>
      <c r="O560" t="s">
        <v>74</v>
      </c>
      <c r="P560" t="s">
        <v>74</v>
      </c>
      <c r="Q560" t="s">
        <v>74</v>
      </c>
      <c r="R560" t="s">
        <v>74</v>
      </c>
      <c r="S560" t="s">
        <v>74</v>
      </c>
      <c r="T560" t="s">
        <v>74</v>
      </c>
      <c r="U560" t="s">
        <v>8291</v>
      </c>
      <c r="V560" t="s">
        <v>8292</v>
      </c>
      <c r="W560" t="s">
        <v>8293</v>
      </c>
      <c r="X560" t="s">
        <v>8294</v>
      </c>
      <c r="Y560" t="s">
        <v>8295</v>
      </c>
      <c r="Z560" t="s">
        <v>8296</v>
      </c>
      <c r="AA560" t="s">
        <v>8297</v>
      </c>
      <c r="AB560" t="s">
        <v>8298</v>
      </c>
      <c r="AC560" t="s">
        <v>74</v>
      </c>
      <c r="AD560" t="s">
        <v>74</v>
      </c>
      <c r="AE560" t="s">
        <v>74</v>
      </c>
      <c r="AF560" t="s">
        <v>74</v>
      </c>
      <c r="AG560">
        <v>23</v>
      </c>
      <c r="AH560">
        <v>26</v>
      </c>
      <c r="AI560">
        <v>27</v>
      </c>
      <c r="AJ560">
        <v>1</v>
      </c>
      <c r="AK560">
        <v>5</v>
      </c>
      <c r="AL560" t="s">
        <v>239</v>
      </c>
      <c r="AM560" t="s">
        <v>240</v>
      </c>
      <c r="AN560" t="s">
        <v>241</v>
      </c>
      <c r="AO560" t="s">
        <v>242</v>
      </c>
      <c r="AP560" t="s">
        <v>341</v>
      </c>
      <c r="AQ560" t="s">
        <v>74</v>
      </c>
      <c r="AR560" t="s">
        <v>243</v>
      </c>
      <c r="AS560" t="s">
        <v>244</v>
      </c>
      <c r="AT560" t="s">
        <v>8284</v>
      </c>
      <c r="AU560">
        <v>2004</v>
      </c>
      <c r="AV560">
        <v>31</v>
      </c>
      <c r="AW560">
        <v>14</v>
      </c>
      <c r="AX560" t="s">
        <v>74</v>
      </c>
      <c r="AY560" t="s">
        <v>74</v>
      </c>
      <c r="AZ560" t="s">
        <v>74</v>
      </c>
      <c r="BA560" t="s">
        <v>74</v>
      </c>
      <c r="BB560" t="s">
        <v>74</v>
      </c>
      <c r="BC560" t="s">
        <v>74</v>
      </c>
      <c r="BD560" t="s">
        <v>8299</v>
      </c>
      <c r="BE560" t="s">
        <v>8300</v>
      </c>
      <c r="BF560" t="str">
        <f>HYPERLINK("http://dx.doi.org/10.1029/2004GL020016","http://dx.doi.org/10.1029/2004GL020016")</f>
        <v>http://dx.doi.org/10.1029/2004GL020016</v>
      </c>
      <c r="BG560" t="s">
        <v>74</v>
      </c>
      <c r="BH560" t="s">
        <v>74</v>
      </c>
      <c r="BI560">
        <v>4</v>
      </c>
      <c r="BJ560" t="s">
        <v>248</v>
      </c>
      <c r="BK560" t="s">
        <v>139</v>
      </c>
      <c r="BL560" t="s">
        <v>249</v>
      </c>
      <c r="BM560" t="s">
        <v>8287</v>
      </c>
      <c r="BN560" t="s">
        <v>74</v>
      </c>
      <c r="BO560" t="s">
        <v>273</v>
      </c>
      <c r="BP560" t="s">
        <v>74</v>
      </c>
      <c r="BQ560" t="s">
        <v>74</v>
      </c>
      <c r="BR560" t="s">
        <v>98</v>
      </c>
      <c r="BS560" t="s">
        <v>8301</v>
      </c>
      <c r="BT560" t="str">
        <f>HYPERLINK("https%3A%2F%2Fwww.webofscience.com%2Fwos%2Fwoscc%2Ffull-record%2FWOS:000222797100002","View Full Record in Web of Science")</f>
        <v>View Full Record in Web of Science</v>
      </c>
    </row>
    <row r="561" spans="1:72" x14ac:dyDescent="0.15">
      <c r="A561" t="s">
        <v>122</v>
      </c>
      <c r="B561" t="s">
        <v>8302</v>
      </c>
      <c r="C561" t="s">
        <v>74</v>
      </c>
      <c r="D561" t="s">
        <v>74</v>
      </c>
      <c r="E561" t="s">
        <v>74</v>
      </c>
      <c r="F561" t="s">
        <v>8302</v>
      </c>
      <c r="G561" t="s">
        <v>74</v>
      </c>
      <c r="H561" t="s">
        <v>74</v>
      </c>
      <c r="I561" t="s">
        <v>8303</v>
      </c>
      <c r="J561" t="s">
        <v>643</v>
      </c>
      <c r="K561" t="s">
        <v>74</v>
      </c>
      <c r="L561" t="s">
        <v>74</v>
      </c>
      <c r="M561" t="s">
        <v>79</v>
      </c>
      <c r="N561" t="s">
        <v>126</v>
      </c>
      <c r="O561" t="s">
        <v>74</v>
      </c>
      <c r="P561" t="s">
        <v>74</v>
      </c>
      <c r="Q561" t="s">
        <v>74</v>
      </c>
      <c r="R561" t="s">
        <v>74</v>
      </c>
      <c r="S561" t="s">
        <v>74</v>
      </c>
      <c r="T561" t="s">
        <v>8304</v>
      </c>
      <c r="U561" t="s">
        <v>8305</v>
      </c>
      <c r="V561" t="s">
        <v>8306</v>
      </c>
      <c r="W561" t="s">
        <v>8307</v>
      </c>
      <c r="X561" t="s">
        <v>8308</v>
      </c>
      <c r="Y561" t="s">
        <v>8309</v>
      </c>
      <c r="Z561" t="s">
        <v>8310</v>
      </c>
      <c r="AA561" t="s">
        <v>8311</v>
      </c>
      <c r="AB561" t="s">
        <v>8312</v>
      </c>
      <c r="AC561" t="s">
        <v>74</v>
      </c>
      <c r="AD561" t="s">
        <v>74</v>
      </c>
      <c r="AE561" t="s">
        <v>74</v>
      </c>
      <c r="AF561" t="s">
        <v>74</v>
      </c>
      <c r="AG561">
        <v>67</v>
      </c>
      <c r="AH561">
        <v>39</v>
      </c>
      <c r="AI561">
        <v>41</v>
      </c>
      <c r="AJ561">
        <v>0</v>
      </c>
      <c r="AK561">
        <v>18</v>
      </c>
      <c r="AL561" t="s">
        <v>239</v>
      </c>
      <c r="AM561" t="s">
        <v>240</v>
      </c>
      <c r="AN561" t="s">
        <v>241</v>
      </c>
      <c r="AO561" t="s">
        <v>653</v>
      </c>
      <c r="AP561" t="s">
        <v>654</v>
      </c>
      <c r="AQ561" t="s">
        <v>74</v>
      </c>
      <c r="AR561" t="s">
        <v>655</v>
      </c>
      <c r="AS561" t="s">
        <v>656</v>
      </c>
      <c r="AT561" t="s">
        <v>8284</v>
      </c>
      <c r="AU561">
        <v>2004</v>
      </c>
      <c r="AV561">
        <v>109</v>
      </c>
      <c r="AW561" t="s">
        <v>8227</v>
      </c>
      <c r="AX561" t="s">
        <v>74</v>
      </c>
      <c r="AY561" t="s">
        <v>74</v>
      </c>
      <c r="AZ561" t="s">
        <v>74</v>
      </c>
      <c r="BA561" t="s">
        <v>74</v>
      </c>
      <c r="BB561" t="s">
        <v>74</v>
      </c>
      <c r="BC561" t="s">
        <v>74</v>
      </c>
      <c r="BD561" t="s">
        <v>8313</v>
      </c>
      <c r="BE561" t="s">
        <v>8314</v>
      </c>
      <c r="BF561" t="str">
        <f>HYPERLINK("http://dx.doi.org/10.1029/2003JC001988","http://dx.doi.org/10.1029/2003JC001988")</f>
        <v>http://dx.doi.org/10.1029/2003JC001988</v>
      </c>
      <c r="BG561" t="s">
        <v>74</v>
      </c>
      <c r="BH561" t="s">
        <v>74</v>
      </c>
      <c r="BI561">
        <v>17</v>
      </c>
      <c r="BJ561" t="s">
        <v>660</v>
      </c>
      <c r="BK561" t="s">
        <v>139</v>
      </c>
      <c r="BL561" t="s">
        <v>660</v>
      </c>
      <c r="BM561" t="s">
        <v>8315</v>
      </c>
      <c r="BN561" t="s">
        <v>74</v>
      </c>
      <c r="BO561" t="s">
        <v>771</v>
      </c>
      <c r="BP561" t="s">
        <v>74</v>
      </c>
      <c r="BQ561" t="s">
        <v>74</v>
      </c>
      <c r="BR561" t="s">
        <v>98</v>
      </c>
      <c r="BS561" t="s">
        <v>8316</v>
      </c>
      <c r="BT561" t="str">
        <f>HYPERLINK("https%3A%2F%2Fwww.webofscience.com%2Fwos%2Fwoscc%2Ffull-record%2FWOS:000222798400002","View Full Record in Web of Science")</f>
        <v>View Full Record in Web of Science</v>
      </c>
    </row>
    <row r="562" spans="1:72" x14ac:dyDescent="0.15">
      <c r="A562" t="s">
        <v>122</v>
      </c>
      <c r="B562" t="s">
        <v>8317</v>
      </c>
      <c r="C562" t="s">
        <v>74</v>
      </c>
      <c r="D562" t="s">
        <v>74</v>
      </c>
      <c r="E562" t="s">
        <v>74</v>
      </c>
      <c r="F562" t="s">
        <v>8317</v>
      </c>
      <c r="G562" t="s">
        <v>74</v>
      </c>
      <c r="H562" t="s">
        <v>74</v>
      </c>
      <c r="I562" t="s">
        <v>8318</v>
      </c>
      <c r="J562" t="s">
        <v>3890</v>
      </c>
      <c r="K562" t="s">
        <v>74</v>
      </c>
      <c r="L562" t="s">
        <v>74</v>
      </c>
      <c r="M562" t="s">
        <v>79</v>
      </c>
      <c r="N562" t="s">
        <v>126</v>
      </c>
      <c r="O562" t="s">
        <v>74</v>
      </c>
      <c r="P562" t="s">
        <v>74</v>
      </c>
      <c r="Q562" t="s">
        <v>74</v>
      </c>
      <c r="R562" t="s">
        <v>74</v>
      </c>
      <c r="S562" t="s">
        <v>74</v>
      </c>
      <c r="T562" t="s">
        <v>74</v>
      </c>
      <c r="U562" t="s">
        <v>8319</v>
      </c>
      <c r="V562" t="s">
        <v>8320</v>
      </c>
      <c r="W562" t="s">
        <v>8321</v>
      </c>
      <c r="X562" t="s">
        <v>8322</v>
      </c>
      <c r="Y562" t="s">
        <v>8323</v>
      </c>
      <c r="Z562" t="s">
        <v>8324</v>
      </c>
      <c r="AA562" t="s">
        <v>8325</v>
      </c>
      <c r="AB562" t="s">
        <v>8326</v>
      </c>
      <c r="AC562" t="s">
        <v>74</v>
      </c>
      <c r="AD562" t="s">
        <v>74</v>
      </c>
      <c r="AE562" t="s">
        <v>74</v>
      </c>
      <c r="AF562" t="s">
        <v>74</v>
      </c>
      <c r="AG562">
        <v>23</v>
      </c>
      <c r="AH562">
        <v>2787</v>
      </c>
      <c r="AI562">
        <v>3284</v>
      </c>
      <c r="AJ562">
        <v>59</v>
      </c>
      <c r="AK562">
        <v>1518</v>
      </c>
      <c r="AL562" t="s">
        <v>3893</v>
      </c>
      <c r="AM562" t="s">
        <v>240</v>
      </c>
      <c r="AN562" t="s">
        <v>3894</v>
      </c>
      <c r="AO562" t="s">
        <v>3895</v>
      </c>
      <c r="AP562" t="s">
        <v>3909</v>
      </c>
      <c r="AQ562" t="s">
        <v>74</v>
      </c>
      <c r="AR562" t="s">
        <v>3890</v>
      </c>
      <c r="AS562" t="s">
        <v>3896</v>
      </c>
      <c r="AT562" t="s">
        <v>8327</v>
      </c>
      <c r="AU562">
        <v>2004</v>
      </c>
      <c r="AV562">
        <v>305</v>
      </c>
      <c r="AW562">
        <v>5682</v>
      </c>
      <c r="AX562" t="s">
        <v>74</v>
      </c>
      <c r="AY562" t="s">
        <v>74</v>
      </c>
      <c r="AZ562" t="s">
        <v>74</v>
      </c>
      <c r="BA562" t="s">
        <v>74</v>
      </c>
      <c r="BB562">
        <v>367</v>
      </c>
      <c r="BC562">
        <v>371</v>
      </c>
      <c r="BD562" t="s">
        <v>74</v>
      </c>
      <c r="BE562" t="s">
        <v>8328</v>
      </c>
      <c r="BF562" t="str">
        <f>HYPERLINK("http://dx.doi.org/10.1126/science.1097403","http://dx.doi.org/10.1126/science.1097403")</f>
        <v>http://dx.doi.org/10.1126/science.1097403</v>
      </c>
      <c r="BG562" t="s">
        <v>74</v>
      </c>
      <c r="BH562" t="s">
        <v>74</v>
      </c>
      <c r="BI562">
        <v>5</v>
      </c>
      <c r="BJ562" t="s">
        <v>381</v>
      </c>
      <c r="BK562" t="s">
        <v>139</v>
      </c>
      <c r="BL562" t="s">
        <v>382</v>
      </c>
      <c r="BM562" t="s">
        <v>8329</v>
      </c>
      <c r="BN562">
        <v>15256665</v>
      </c>
      <c r="BO562" t="s">
        <v>8330</v>
      </c>
      <c r="BP562" t="s">
        <v>74</v>
      </c>
      <c r="BQ562" t="s">
        <v>74</v>
      </c>
      <c r="BR562" t="s">
        <v>98</v>
      </c>
      <c r="BS562" t="s">
        <v>8331</v>
      </c>
      <c r="BT562" t="str">
        <f>HYPERLINK("https%3A%2F%2Fwww.webofscience.com%2Fwos%2Fwoscc%2Ffull-record%2FWOS:000222662400030","View Full Record in Web of Science")</f>
        <v>View Full Record in Web of Science</v>
      </c>
    </row>
    <row r="563" spans="1:72" x14ac:dyDescent="0.15">
      <c r="A563" t="s">
        <v>122</v>
      </c>
      <c r="B563" t="s">
        <v>8332</v>
      </c>
      <c r="C563" t="s">
        <v>74</v>
      </c>
      <c r="D563" t="s">
        <v>74</v>
      </c>
      <c r="E563" t="s">
        <v>74</v>
      </c>
      <c r="F563" t="s">
        <v>8332</v>
      </c>
      <c r="G563" t="s">
        <v>74</v>
      </c>
      <c r="H563" t="s">
        <v>74</v>
      </c>
      <c r="I563" t="s">
        <v>8333</v>
      </c>
      <c r="J563" t="s">
        <v>522</v>
      </c>
      <c r="K563" t="s">
        <v>74</v>
      </c>
      <c r="L563" t="s">
        <v>74</v>
      </c>
      <c r="M563" t="s">
        <v>79</v>
      </c>
      <c r="N563" t="s">
        <v>126</v>
      </c>
      <c r="O563" t="s">
        <v>74</v>
      </c>
      <c r="P563" t="s">
        <v>74</v>
      </c>
      <c r="Q563" t="s">
        <v>74</v>
      </c>
      <c r="R563" t="s">
        <v>74</v>
      </c>
      <c r="S563" t="s">
        <v>74</v>
      </c>
      <c r="T563" t="s">
        <v>8334</v>
      </c>
      <c r="U563" t="s">
        <v>8335</v>
      </c>
      <c r="V563" t="s">
        <v>8336</v>
      </c>
      <c r="W563" t="s">
        <v>8337</v>
      </c>
      <c r="X563" t="s">
        <v>8338</v>
      </c>
      <c r="Y563" t="s">
        <v>8339</v>
      </c>
      <c r="Z563" t="s">
        <v>8340</v>
      </c>
      <c r="AA563" t="s">
        <v>8341</v>
      </c>
      <c r="AB563" t="s">
        <v>8342</v>
      </c>
      <c r="AC563" t="s">
        <v>74</v>
      </c>
      <c r="AD563" t="s">
        <v>74</v>
      </c>
      <c r="AE563" t="s">
        <v>74</v>
      </c>
      <c r="AF563" t="s">
        <v>74</v>
      </c>
      <c r="AG563">
        <v>47</v>
      </c>
      <c r="AH563">
        <v>53</v>
      </c>
      <c r="AI563">
        <v>54</v>
      </c>
      <c r="AJ563">
        <v>0</v>
      </c>
      <c r="AK563">
        <v>10</v>
      </c>
      <c r="AL563" t="s">
        <v>531</v>
      </c>
      <c r="AM563" t="s">
        <v>532</v>
      </c>
      <c r="AN563" t="s">
        <v>533</v>
      </c>
      <c r="AO563" t="s">
        <v>534</v>
      </c>
      <c r="AP563" t="s">
        <v>535</v>
      </c>
      <c r="AQ563" t="s">
        <v>74</v>
      </c>
      <c r="AR563" t="s">
        <v>536</v>
      </c>
      <c r="AS563" t="s">
        <v>537</v>
      </c>
      <c r="AT563" t="s">
        <v>8343</v>
      </c>
      <c r="AU563">
        <v>2004</v>
      </c>
      <c r="AV563">
        <v>223</v>
      </c>
      <c r="AW563" t="s">
        <v>538</v>
      </c>
      <c r="AX563" t="s">
        <v>74</v>
      </c>
      <c r="AY563" t="s">
        <v>74</v>
      </c>
      <c r="AZ563" t="s">
        <v>74</v>
      </c>
      <c r="BA563" t="s">
        <v>74</v>
      </c>
      <c r="BB563">
        <v>349</v>
      </c>
      <c r="BC563">
        <v>364</v>
      </c>
      <c r="BD563" t="s">
        <v>74</v>
      </c>
      <c r="BE563" t="s">
        <v>8344</v>
      </c>
      <c r="BF563" t="str">
        <f>HYPERLINK("http://dx.doi.org/10.1016/j.epsl.2004.04.042","http://dx.doi.org/10.1016/j.epsl.2004.04.042")</f>
        <v>http://dx.doi.org/10.1016/j.epsl.2004.04.042</v>
      </c>
      <c r="BG563" t="s">
        <v>74</v>
      </c>
      <c r="BH563" t="s">
        <v>74</v>
      </c>
      <c r="BI563">
        <v>16</v>
      </c>
      <c r="BJ563" t="s">
        <v>271</v>
      </c>
      <c r="BK563" t="s">
        <v>139</v>
      </c>
      <c r="BL563" t="s">
        <v>271</v>
      </c>
      <c r="BM563" t="s">
        <v>8345</v>
      </c>
      <c r="BN563" t="s">
        <v>74</v>
      </c>
      <c r="BO563" t="s">
        <v>74</v>
      </c>
      <c r="BP563" t="s">
        <v>74</v>
      </c>
      <c r="BQ563" t="s">
        <v>74</v>
      </c>
      <c r="BR563" t="s">
        <v>98</v>
      </c>
      <c r="BS563" t="s">
        <v>8346</v>
      </c>
      <c r="BT563" t="str">
        <f>HYPERLINK("https%3A%2F%2Fwww.webofscience.com%2Fwos%2Fwoscc%2Ffull-record%2FWOS:000222961000008","View Full Record in Web of Science")</f>
        <v>View Full Record in Web of Science</v>
      </c>
    </row>
    <row r="564" spans="1:72" x14ac:dyDescent="0.15">
      <c r="A564" t="s">
        <v>122</v>
      </c>
      <c r="B564" t="s">
        <v>8347</v>
      </c>
      <c r="C564" t="s">
        <v>74</v>
      </c>
      <c r="D564" t="s">
        <v>74</v>
      </c>
      <c r="E564" t="s">
        <v>74</v>
      </c>
      <c r="F564" t="s">
        <v>8347</v>
      </c>
      <c r="G564" t="s">
        <v>74</v>
      </c>
      <c r="H564" t="s">
        <v>74</v>
      </c>
      <c r="I564" t="s">
        <v>8348</v>
      </c>
      <c r="J564" t="s">
        <v>277</v>
      </c>
      <c r="K564" t="s">
        <v>74</v>
      </c>
      <c r="L564" t="s">
        <v>74</v>
      </c>
      <c r="M564" t="s">
        <v>79</v>
      </c>
      <c r="N564" t="s">
        <v>126</v>
      </c>
      <c r="O564" t="s">
        <v>74</v>
      </c>
      <c r="P564" t="s">
        <v>74</v>
      </c>
      <c r="Q564" t="s">
        <v>74</v>
      </c>
      <c r="R564" t="s">
        <v>74</v>
      </c>
      <c r="S564" t="s">
        <v>74</v>
      </c>
      <c r="T564" t="s">
        <v>8349</v>
      </c>
      <c r="U564" t="s">
        <v>8350</v>
      </c>
      <c r="V564" t="s">
        <v>8351</v>
      </c>
      <c r="W564" t="s">
        <v>8352</v>
      </c>
      <c r="X564" t="s">
        <v>8353</v>
      </c>
      <c r="Y564" t="s">
        <v>5043</v>
      </c>
      <c r="Z564" t="s">
        <v>8354</v>
      </c>
      <c r="AA564" t="s">
        <v>8355</v>
      </c>
      <c r="AB564" t="s">
        <v>8356</v>
      </c>
      <c r="AC564" t="s">
        <v>74</v>
      </c>
      <c r="AD564" t="s">
        <v>74</v>
      </c>
      <c r="AE564" t="s">
        <v>74</v>
      </c>
      <c r="AF564" t="s">
        <v>74</v>
      </c>
      <c r="AG564">
        <v>46</v>
      </c>
      <c r="AH564">
        <v>41</v>
      </c>
      <c r="AI564">
        <v>46</v>
      </c>
      <c r="AJ564">
        <v>0</v>
      </c>
      <c r="AK564">
        <v>17</v>
      </c>
      <c r="AL564" t="s">
        <v>239</v>
      </c>
      <c r="AM564" t="s">
        <v>240</v>
      </c>
      <c r="AN564" t="s">
        <v>241</v>
      </c>
      <c r="AO564" t="s">
        <v>284</v>
      </c>
      <c r="AP564" t="s">
        <v>285</v>
      </c>
      <c r="AQ564" t="s">
        <v>74</v>
      </c>
      <c r="AR564" t="s">
        <v>286</v>
      </c>
      <c r="AS564" t="s">
        <v>287</v>
      </c>
      <c r="AT564" t="s">
        <v>8343</v>
      </c>
      <c r="AU564">
        <v>2004</v>
      </c>
      <c r="AV564">
        <v>109</v>
      </c>
      <c r="AW564" t="s">
        <v>8357</v>
      </c>
      <c r="AX564" t="s">
        <v>74</v>
      </c>
      <c r="AY564" t="s">
        <v>74</v>
      </c>
      <c r="AZ564" t="s">
        <v>74</v>
      </c>
      <c r="BA564" t="s">
        <v>74</v>
      </c>
      <c r="BB564" t="s">
        <v>74</v>
      </c>
      <c r="BC564" t="s">
        <v>74</v>
      </c>
      <c r="BD564" t="s">
        <v>8358</v>
      </c>
      <c r="BE564" t="s">
        <v>8359</v>
      </c>
      <c r="BF564" t="str">
        <f>HYPERLINK("http://dx.doi.org/10.1029/2003JD004415","http://dx.doi.org/10.1029/2003JD004415")</f>
        <v>http://dx.doi.org/10.1029/2003JD004415</v>
      </c>
      <c r="BG564" t="s">
        <v>74</v>
      </c>
      <c r="BH564" t="s">
        <v>74</v>
      </c>
      <c r="BI564">
        <v>8</v>
      </c>
      <c r="BJ564" t="s">
        <v>291</v>
      </c>
      <c r="BK564" t="s">
        <v>139</v>
      </c>
      <c r="BL564" t="s">
        <v>291</v>
      </c>
      <c r="BM564" t="s">
        <v>8360</v>
      </c>
      <c r="BN564" t="s">
        <v>74</v>
      </c>
      <c r="BO564" t="s">
        <v>74</v>
      </c>
      <c r="BP564" t="s">
        <v>74</v>
      </c>
      <c r="BQ564" t="s">
        <v>74</v>
      </c>
      <c r="BR564" t="s">
        <v>98</v>
      </c>
      <c r="BS564" t="s">
        <v>8361</v>
      </c>
      <c r="BT564" t="str">
        <f>HYPERLINK("https%3A%2F%2Fwww.webofscience.com%2Fwos%2Fwoscc%2Ffull-record%2FWOS:000222797700001","View Full Record in Web of Science")</f>
        <v>View Full Record in Web of Science</v>
      </c>
    </row>
    <row r="565" spans="1:72" x14ac:dyDescent="0.15">
      <c r="A565" t="s">
        <v>122</v>
      </c>
      <c r="B565" t="s">
        <v>8362</v>
      </c>
      <c r="C565" t="s">
        <v>74</v>
      </c>
      <c r="D565" t="s">
        <v>74</v>
      </c>
      <c r="E565" t="s">
        <v>74</v>
      </c>
      <c r="F565" t="s">
        <v>8362</v>
      </c>
      <c r="G565" t="s">
        <v>74</v>
      </c>
      <c r="H565" t="s">
        <v>74</v>
      </c>
      <c r="I565" t="s">
        <v>8363</v>
      </c>
      <c r="J565" t="s">
        <v>603</v>
      </c>
      <c r="K565" t="s">
        <v>74</v>
      </c>
      <c r="L565" t="s">
        <v>74</v>
      </c>
      <c r="M565" t="s">
        <v>79</v>
      </c>
      <c r="N565" t="s">
        <v>126</v>
      </c>
      <c r="O565" t="s">
        <v>74</v>
      </c>
      <c r="P565" t="s">
        <v>74</v>
      </c>
      <c r="Q565" t="s">
        <v>74</v>
      </c>
      <c r="R565" t="s">
        <v>74</v>
      </c>
      <c r="S565" t="s">
        <v>74</v>
      </c>
      <c r="T565" t="s">
        <v>8364</v>
      </c>
      <c r="U565" t="s">
        <v>8365</v>
      </c>
      <c r="V565" t="s">
        <v>8366</v>
      </c>
      <c r="W565" t="s">
        <v>8367</v>
      </c>
      <c r="X565" t="s">
        <v>8368</v>
      </c>
      <c r="Y565" t="s">
        <v>8369</v>
      </c>
      <c r="Z565" t="s">
        <v>8370</v>
      </c>
      <c r="AA565" t="s">
        <v>8225</v>
      </c>
      <c r="AB565" t="s">
        <v>74</v>
      </c>
      <c r="AC565" t="s">
        <v>74</v>
      </c>
      <c r="AD565" t="s">
        <v>74</v>
      </c>
      <c r="AE565" t="s">
        <v>74</v>
      </c>
      <c r="AF565" t="s">
        <v>74</v>
      </c>
      <c r="AG565">
        <v>35</v>
      </c>
      <c r="AH565">
        <v>75</v>
      </c>
      <c r="AI565">
        <v>92</v>
      </c>
      <c r="AJ565">
        <v>0</v>
      </c>
      <c r="AK565">
        <v>30</v>
      </c>
      <c r="AL565" t="s">
        <v>612</v>
      </c>
      <c r="AM565" t="s">
        <v>613</v>
      </c>
      <c r="AN565" t="s">
        <v>3072</v>
      </c>
      <c r="AO565" t="s">
        <v>615</v>
      </c>
      <c r="AP565" t="s">
        <v>616</v>
      </c>
      <c r="AQ565" t="s">
        <v>74</v>
      </c>
      <c r="AR565" t="s">
        <v>617</v>
      </c>
      <c r="AS565" t="s">
        <v>618</v>
      </c>
      <c r="AT565" t="s">
        <v>8343</v>
      </c>
      <c r="AU565">
        <v>2004</v>
      </c>
      <c r="AV565">
        <v>92</v>
      </c>
      <c r="AW565">
        <v>1</v>
      </c>
      <c r="AX565" t="s">
        <v>74</v>
      </c>
      <c r="AY565" t="s">
        <v>74</v>
      </c>
      <c r="AZ565" t="s">
        <v>74</v>
      </c>
      <c r="BA565" t="s">
        <v>74</v>
      </c>
      <c r="BB565">
        <v>98</v>
      </c>
      <c r="BC565">
        <v>111</v>
      </c>
      <c r="BD565" t="s">
        <v>74</v>
      </c>
      <c r="BE565" t="s">
        <v>8371</v>
      </c>
      <c r="BF565" t="str">
        <f>HYPERLINK("http://dx.doi.org/10.1016/j.rse.2004.05.007","http://dx.doi.org/10.1016/j.rse.2004.05.007")</f>
        <v>http://dx.doi.org/10.1016/j.rse.2004.05.007</v>
      </c>
      <c r="BG565" t="s">
        <v>74</v>
      </c>
      <c r="BH565" t="s">
        <v>74</v>
      </c>
      <c r="BI565">
        <v>14</v>
      </c>
      <c r="BJ565" t="s">
        <v>620</v>
      </c>
      <c r="BK565" t="s">
        <v>139</v>
      </c>
      <c r="BL565" t="s">
        <v>621</v>
      </c>
      <c r="BM565" t="s">
        <v>8372</v>
      </c>
      <c r="BN565" t="s">
        <v>74</v>
      </c>
      <c r="BO565" t="s">
        <v>74</v>
      </c>
      <c r="BP565" t="s">
        <v>74</v>
      </c>
      <c r="BQ565" t="s">
        <v>74</v>
      </c>
      <c r="BR565" t="s">
        <v>98</v>
      </c>
      <c r="BS565" t="s">
        <v>8373</v>
      </c>
      <c r="BT565" t="str">
        <f>HYPERLINK("https%3A%2F%2Fwww.webofscience.com%2Fwos%2Fwoscc%2Ffull-record%2FWOS:000222985900007","View Full Record in Web of Science")</f>
        <v>View Full Record in Web of Science</v>
      </c>
    </row>
    <row r="566" spans="1:72" x14ac:dyDescent="0.15">
      <c r="A566" t="s">
        <v>122</v>
      </c>
      <c r="B566" t="s">
        <v>8374</v>
      </c>
      <c r="C566" t="s">
        <v>74</v>
      </c>
      <c r="D566" t="s">
        <v>74</v>
      </c>
      <c r="E566" t="s">
        <v>74</v>
      </c>
      <c r="F566" t="s">
        <v>8374</v>
      </c>
      <c r="G566" t="s">
        <v>74</v>
      </c>
      <c r="H566" t="s">
        <v>74</v>
      </c>
      <c r="I566" t="s">
        <v>8375</v>
      </c>
      <c r="J566" t="s">
        <v>8376</v>
      </c>
      <c r="K566" t="s">
        <v>74</v>
      </c>
      <c r="L566" t="s">
        <v>74</v>
      </c>
      <c r="M566" t="s">
        <v>79</v>
      </c>
      <c r="N566" t="s">
        <v>126</v>
      </c>
      <c r="O566" t="s">
        <v>74</v>
      </c>
      <c r="P566" t="s">
        <v>74</v>
      </c>
      <c r="Q566" t="s">
        <v>74</v>
      </c>
      <c r="R566" t="s">
        <v>74</v>
      </c>
      <c r="S566" t="s">
        <v>74</v>
      </c>
      <c r="T566" t="s">
        <v>8377</v>
      </c>
      <c r="U566" t="s">
        <v>8378</v>
      </c>
      <c r="V566" t="s">
        <v>8379</v>
      </c>
      <c r="W566" t="s">
        <v>8380</v>
      </c>
      <c r="X566" t="s">
        <v>8381</v>
      </c>
      <c r="Y566" t="s">
        <v>8382</v>
      </c>
      <c r="Z566" t="s">
        <v>8383</v>
      </c>
      <c r="AA566" t="s">
        <v>8384</v>
      </c>
      <c r="AB566" t="s">
        <v>8385</v>
      </c>
      <c r="AC566" t="s">
        <v>74</v>
      </c>
      <c r="AD566" t="s">
        <v>74</v>
      </c>
      <c r="AE566" t="s">
        <v>74</v>
      </c>
      <c r="AF566" t="s">
        <v>74</v>
      </c>
      <c r="AG566">
        <v>66</v>
      </c>
      <c r="AH566">
        <v>643</v>
      </c>
      <c r="AI566">
        <v>723</v>
      </c>
      <c r="AJ566">
        <v>8</v>
      </c>
      <c r="AK566">
        <v>346</v>
      </c>
      <c r="AL566" t="s">
        <v>239</v>
      </c>
      <c r="AM566" t="s">
        <v>240</v>
      </c>
      <c r="AN566" t="s">
        <v>241</v>
      </c>
      <c r="AO566" t="s">
        <v>8386</v>
      </c>
      <c r="AP566" t="s">
        <v>8387</v>
      </c>
      <c r="AQ566" t="s">
        <v>74</v>
      </c>
      <c r="AR566" t="s">
        <v>8388</v>
      </c>
      <c r="AS566" t="s">
        <v>8389</v>
      </c>
      <c r="AT566" t="s">
        <v>8390</v>
      </c>
      <c r="AU566">
        <v>2004</v>
      </c>
      <c r="AV566">
        <v>18</v>
      </c>
      <c r="AW566">
        <v>3</v>
      </c>
      <c r="AX566" t="s">
        <v>74</v>
      </c>
      <c r="AY566" t="s">
        <v>74</v>
      </c>
      <c r="AZ566" t="s">
        <v>74</v>
      </c>
      <c r="BA566" t="s">
        <v>74</v>
      </c>
      <c r="BB566" t="s">
        <v>74</v>
      </c>
      <c r="BC566" t="s">
        <v>74</v>
      </c>
      <c r="BD566" t="s">
        <v>8391</v>
      </c>
      <c r="BE566" t="s">
        <v>8392</v>
      </c>
      <c r="BF566" t="str">
        <f>HYPERLINK("http://dx.doi.org/10.1029/2003GB002134","http://dx.doi.org/10.1029/2003GB002134")</f>
        <v>http://dx.doi.org/10.1029/2003GB002134</v>
      </c>
      <c r="BG566" t="s">
        <v>74</v>
      </c>
      <c r="BH566" t="s">
        <v>74</v>
      </c>
      <c r="BI566">
        <v>35</v>
      </c>
      <c r="BJ566" t="s">
        <v>8393</v>
      </c>
      <c r="BK566" t="s">
        <v>139</v>
      </c>
      <c r="BL566" t="s">
        <v>8394</v>
      </c>
      <c r="BM566" t="s">
        <v>8395</v>
      </c>
      <c r="BN566" t="s">
        <v>74</v>
      </c>
      <c r="BO566" t="s">
        <v>329</v>
      </c>
      <c r="BP566" t="s">
        <v>74</v>
      </c>
      <c r="BQ566" t="s">
        <v>74</v>
      </c>
      <c r="BR566" t="s">
        <v>98</v>
      </c>
      <c r="BS566" t="s">
        <v>8396</v>
      </c>
      <c r="BT566" t="str">
        <f>HYPERLINK("https%3A%2F%2Fwww.webofscience.com%2Fwos%2Fwoscc%2Ffull-record%2FWOS:000222797400001","View Full Record in Web of Science")</f>
        <v>View Full Record in Web of Science</v>
      </c>
    </row>
    <row r="567" spans="1:72" x14ac:dyDescent="0.15">
      <c r="A567" t="s">
        <v>122</v>
      </c>
      <c r="B567" t="s">
        <v>8397</v>
      </c>
      <c r="C567" t="s">
        <v>74</v>
      </c>
      <c r="D567" t="s">
        <v>74</v>
      </c>
      <c r="E567" t="s">
        <v>74</v>
      </c>
      <c r="F567" t="s">
        <v>8397</v>
      </c>
      <c r="G567" t="s">
        <v>74</v>
      </c>
      <c r="H567" t="s">
        <v>74</v>
      </c>
      <c r="I567" t="s">
        <v>8398</v>
      </c>
      <c r="J567" t="s">
        <v>8399</v>
      </c>
      <c r="K567" t="s">
        <v>74</v>
      </c>
      <c r="L567" t="s">
        <v>74</v>
      </c>
      <c r="M567" t="s">
        <v>79</v>
      </c>
      <c r="N567" t="s">
        <v>126</v>
      </c>
      <c r="O567" t="s">
        <v>74</v>
      </c>
      <c r="P567" t="s">
        <v>74</v>
      </c>
      <c r="Q567" t="s">
        <v>74</v>
      </c>
      <c r="R567" t="s">
        <v>74</v>
      </c>
      <c r="S567" t="s">
        <v>74</v>
      </c>
      <c r="T567" t="s">
        <v>8400</v>
      </c>
      <c r="U567" t="s">
        <v>8401</v>
      </c>
      <c r="V567" t="s">
        <v>8402</v>
      </c>
      <c r="W567" t="s">
        <v>8403</v>
      </c>
      <c r="X567" t="s">
        <v>8404</v>
      </c>
      <c r="Y567" t="s">
        <v>8405</v>
      </c>
      <c r="Z567" t="s">
        <v>8406</v>
      </c>
      <c r="AA567" t="s">
        <v>8407</v>
      </c>
      <c r="AB567" t="s">
        <v>8408</v>
      </c>
      <c r="AC567" t="s">
        <v>74</v>
      </c>
      <c r="AD567" t="s">
        <v>74</v>
      </c>
      <c r="AE567" t="s">
        <v>74</v>
      </c>
      <c r="AF567" t="s">
        <v>74</v>
      </c>
      <c r="AG567">
        <v>38</v>
      </c>
      <c r="AH567">
        <v>37</v>
      </c>
      <c r="AI567">
        <v>44</v>
      </c>
      <c r="AJ567">
        <v>0</v>
      </c>
      <c r="AK567">
        <v>13</v>
      </c>
      <c r="AL567" t="s">
        <v>562</v>
      </c>
      <c r="AM567" t="s">
        <v>532</v>
      </c>
      <c r="AN567" t="s">
        <v>563</v>
      </c>
      <c r="AO567" t="s">
        <v>8409</v>
      </c>
      <c r="AP567" t="s">
        <v>74</v>
      </c>
      <c r="AQ567" t="s">
        <v>74</v>
      </c>
      <c r="AR567" t="s">
        <v>8410</v>
      </c>
      <c r="AS567" t="s">
        <v>8411</v>
      </c>
      <c r="AT567" t="s">
        <v>8412</v>
      </c>
      <c r="AU567">
        <v>2004</v>
      </c>
      <c r="AV567">
        <v>1679</v>
      </c>
      <c r="AW567">
        <v>1</v>
      </c>
      <c r="AX567" t="s">
        <v>74</v>
      </c>
      <c r="AY567" t="s">
        <v>74</v>
      </c>
      <c r="AZ567" t="s">
        <v>74</v>
      </c>
      <c r="BA567" t="s">
        <v>74</v>
      </c>
      <c r="BB567">
        <v>47</v>
      </c>
      <c r="BC567">
        <v>58</v>
      </c>
      <c r="BD567" t="s">
        <v>74</v>
      </c>
      <c r="BE567" t="s">
        <v>8413</v>
      </c>
      <c r="BF567" t="str">
        <f>HYPERLINK("http://dx.doi.org/10.1016/j.bbaexp.2004.04.004","http://dx.doi.org/10.1016/j.bbaexp.2004.04.004")</f>
        <v>http://dx.doi.org/10.1016/j.bbaexp.2004.04.004</v>
      </c>
      <c r="BG567" t="s">
        <v>74</v>
      </c>
      <c r="BH567" t="s">
        <v>74</v>
      </c>
      <c r="BI567">
        <v>12</v>
      </c>
      <c r="BJ567" t="s">
        <v>4205</v>
      </c>
      <c r="BK567" t="s">
        <v>139</v>
      </c>
      <c r="BL567" t="s">
        <v>4205</v>
      </c>
      <c r="BM567" t="s">
        <v>8414</v>
      </c>
      <c r="BN567">
        <v>15245916</v>
      </c>
      <c r="BO567" t="s">
        <v>74</v>
      </c>
      <c r="BP567" t="s">
        <v>74</v>
      </c>
      <c r="BQ567" t="s">
        <v>74</v>
      </c>
      <c r="BR567" t="s">
        <v>98</v>
      </c>
      <c r="BS567" t="s">
        <v>8415</v>
      </c>
      <c r="BT567" t="str">
        <f>HYPERLINK("https%3A%2F%2Fwww.webofscience.com%2Fwos%2Fwoscc%2Ffull-record%2FWOS:000222818900006","View Full Record in Web of Science")</f>
        <v>View Full Record in Web of Science</v>
      </c>
    </row>
    <row r="568" spans="1:72" x14ac:dyDescent="0.15">
      <c r="A568" t="s">
        <v>122</v>
      </c>
      <c r="B568" t="s">
        <v>8416</v>
      </c>
      <c r="C568" t="s">
        <v>74</v>
      </c>
      <c r="D568" t="s">
        <v>74</v>
      </c>
      <c r="E568" t="s">
        <v>74</v>
      </c>
      <c r="F568" t="s">
        <v>8416</v>
      </c>
      <c r="G568" t="s">
        <v>74</v>
      </c>
      <c r="H568" t="s">
        <v>74</v>
      </c>
      <c r="I568" t="s">
        <v>8417</v>
      </c>
      <c r="J568" t="s">
        <v>230</v>
      </c>
      <c r="K568" t="s">
        <v>74</v>
      </c>
      <c r="L568" t="s">
        <v>74</v>
      </c>
      <c r="M568" t="s">
        <v>79</v>
      </c>
      <c r="N568" t="s">
        <v>126</v>
      </c>
      <c r="O568" t="s">
        <v>74</v>
      </c>
      <c r="P568" t="s">
        <v>74</v>
      </c>
      <c r="Q568" t="s">
        <v>74</v>
      </c>
      <c r="R568" t="s">
        <v>74</v>
      </c>
      <c r="S568" t="s">
        <v>74</v>
      </c>
      <c r="T568" t="s">
        <v>74</v>
      </c>
      <c r="U568" t="s">
        <v>8418</v>
      </c>
      <c r="V568" t="s">
        <v>8419</v>
      </c>
      <c r="W568" t="s">
        <v>8420</v>
      </c>
      <c r="X568" t="s">
        <v>8421</v>
      </c>
      <c r="Y568" t="s">
        <v>8422</v>
      </c>
      <c r="Z568" t="s">
        <v>8423</v>
      </c>
      <c r="AA568" t="s">
        <v>8424</v>
      </c>
      <c r="AB568" t="s">
        <v>8425</v>
      </c>
      <c r="AC568" t="s">
        <v>74</v>
      </c>
      <c r="AD568" t="s">
        <v>74</v>
      </c>
      <c r="AE568" t="s">
        <v>74</v>
      </c>
      <c r="AF568" t="s">
        <v>74</v>
      </c>
      <c r="AG568">
        <v>23</v>
      </c>
      <c r="AH568">
        <v>26</v>
      </c>
      <c r="AI568">
        <v>32</v>
      </c>
      <c r="AJ568">
        <v>0</v>
      </c>
      <c r="AK568">
        <v>9</v>
      </c>
      <c r="AL568" t="s">
        <v>239</v>
      </c>
      <c r="AM568" t="s">
        <v>240</v>
      </c>
      <c r="AN568" t="s">
        <v>241</v>
      </c>
      <c r="AO568" t="s">
        <v>242</v>
      </c>
      <c r="AP568" t="s">
        <v>74</v>
      </c>
      <c r="AQ568" t="s">
        <v>74</v>
      </c>
      <c r="AR568" t="s">
        <v>243</v>
      </c>
      <c r="AS568" t="s">
        <v>244</v>
      </c>
      <c r="AT568" t="s">
        <v>8412</v>
      </c>
      <c r="AU568">
        <v>2004</v>
      </c>
      <c r="AV568">
        <v>31</v>
      </c>
      <c r="AW568">
        <v>13</v>
      </c>
      <c r="AX568" t="s">
        <v>74</v>
      </c>
      <c r="AY568" t="s">
        <v>74</v>
      </c>
      <c r="AZ568" t="s">
        <v>74</v>
      </c>
      <c r="BA568" t="s">
        <v>74</v>
      </c>
      <c r="BB568" t="s">
        <v>74</v>
      </c>
      <c r="BC568" t="s">
        <v>74</v>
      </c>
      <c r="BD568" t="s">
        <v>8426</v>
      </c>
      <c r="BE568" t="s">
        <v>8427</v>
      </c>
      <c r="BF568" t="str">
        <f>HYPERLINK("http://dx.doi.org/10.1029/2004GL019954","http://dx.doi.org/10.1029/2004GL019954")</f>
        <v>http://dx.doi.org/10.1029/2004GL019954</v>
      </c>
      <c r="BG568" t="s">
        <v>74</v>
      </c>
      <c r="BH568" t="s">
        <v>74</v>
      </c>
      <c r="BI568">
        <v>4</v>
      </c>
      <c r="BJ568" t="s">
        <v>248</v>
      </c>
      <c r="BK568" t="s">
        <v>139</v>
      </c>
      <c r="BL568" t="s">
        <v>249</v>
      </c>
      <c r="BM568" t="s">
        <v>8428</v>
      </c>
      <c r="BN568" t="s">
        <v>74</v>
      </c>
      <c r="BO568" t="s">
        <v>273</v>
      </c>
      <c r="BP568" t="s">
        <v>74</v>
      </c>
      <c r="BQ568" t="s">
        <v>74</v>
      </c>
      <c r="BR568" t="s">
        <v>98</v>
      </c>
      <c r="BS568" t="s">
        <v>8429</v>
      </c>
      <c r="BT568" t="str">
        <f>HYPERLINK("https%3A%2F%2Fwww.webofscience.com%2Fwos%2Fwoscc%2Ffull-record%2FWOS:000222796700002","View Full Record in Web of Science")</f>
        <v>View Full Record in Web of Science</v>
      </c>
    </row>
    <row r="569" spans="1:72" x14ac:dyDescent="0.15">
      <c r="A569" t="s">
        <v>122</v>
      </c>
      <c r="B569" t="s">
        <v>8430</v>
      </c>
      <c r="C569" t="s">
        <v>74</v>
      </c>
      <c r="D569" t="s">
        <v>74</v>
      </c>
      <c r="E569" t="s">
        <v>74</v>
      </c>
      <c r="F569" t="s">
        <v>8430</v>
      </c>
      <c r="G569" t="s">
        <v>74</v>
      </c>
      <c r="H569" t="s">
        <v>74</v>
      </c>
      <c r="I569" t="s">
        <v>8431</v>
      </c>
      <c r="J569" t="s">
        <v>255</v>
      </c>
      <c r="K569" t="s">
        <v>74</v>
      </c>
      <c r="L569" t="s">
        <v>74</v>
      </c>
      <c r="M569" t="s">
        <v>79</v>
      </c>
      <c r="N569" t="s">
        <v>126</v>
      </c>
      <c r="O569" t="s">
        <v>74</v>
      </c>
      <c r="P569" t="s">
        <v>74</v>
      </c>
      <c r="Q569" t="s">
        <v>74</v>
      </c>
      <c r="R569" t="s">
        <v>74</v>
      </c>
      <c r="S569" t="s">
        <v>74</v>
      </c>
      <c r="T569" t="s">
        <v>8432</v>
      </c>
      <c r="U569" t="s">
        <v>8433</v>
      </c>
      <c r="V569" t="s">
        <v>8434</v>
      </c>
      <c r="W569" t="s">
        <v>8435</v>
      </c>
      <c r="X569" t="s">
        <v>8436</v>
      </c>
      <c r="Y569" t="s">
        <v>8223</v>
      </c>
      <c r="Z569" t="s">
        <v>8437</v>
      </c>
      <c r="AA569" t="s">
        <v>74</v>
      </c>
      <c r="AB569" t="s">
        <v>8438</v>
      </c>
      <c r="AC569" t="s">
        <v>74</v>
      </c>
      <c r="AD569" t="s">
        <v>74</v>
      </c>
      <c r="AE569" t="s">
        <v>74</v>
      </c>
      <c r="AF569" t="s">
        <v>74</v>
      </c>
      <c r="AG569">
        <v>64</v>
      </c>
      <c r="AH569">
        <v>112</v>
      </c>
      <c r="AI569">
        <v>124</v>
      </c>
      <c r="AJ569">
        <v>0</v>
      </c>
      <c r="AK569">
        <v>18</v>
      </c>
      <c r="AL569" t="s">
        <v>239</v>
      </c>
      <c r="AM569" t="s">
        <v>240</v>
      </c>
      <c r="AN569" t="s">
        <v>241</v>
      </c>
      <c r="AO569" t="s">
        <v>74</v>
      </c>
      <c r="AP569" t="s">
        <v>265</v>
      </c>
      <c r="AQ569" t="s">
        <v>74</v>
      </c>
      <c r="AR569" t="s">
        <v>266</v>
      </c>
      <c r="AS569" t="s">
        <v>267</v>
      </c>
      <c r="AT569" t="s">
        <v>8439</v>
      </c>
      <c r="AU569">
        <v>2004</v>
      </c>
      <c r="AV569">
        <v>5</v>
      </c>
      <c r="AW569" t="s">
        <v>74</v>
      </c>
      <c r="AX569" t="s">
        <v>74</v>
      </c>
      <c r="AY569" t="s">
        <v>74</v>
      </c>
      <c r="AZ569" t="s">
        <v>74</v>
      </c>
      <c r="BA569" t="s">
        <v>74</v>
      </c>
      <c r="BB569" t="s">
        <v>74</v>
      </c>
      <c r="BC569" t="s">
        <v>74</v>
      </c>
      <c r="BD569" t="s">
        <v>8440</v>
      </c>
      <c r="BE569" t="s">
        <v>8441</v>
      </c>
      <c r="BF569" t="str">
        <f>HYPERLINK("http://dx.doi.org/10.1029/2003GC000657","http://dx.doi.org/10.1029/2003GC000657")</f>
        <v>http://dx.doi.org/10.1029/2003GC000657</v>
      </c>
      <c r="BG569" t="s">
        <v>74</v>
      </c>
      <c r="BH569" t="s">
        <v>74</v>
      </c>
      <c r="BI569">
        <v>21</v>
      </c>
      <c r="BJ569" t="s">
        <v>271</v>
      </c>
      <c r="BK569" t="s">
        <v>139</v>
      </c>
      <c r="BL569" t="s">
        <v>271</v>
      </c>
      <c r="BM569" t="s">
        <v>8442</v>
      </c>
      <c r="BN569" t="s">
        <v>74</v>
      </c>
      <c r="BO569" t="s">
        <v>771</v>
      </c>
      <c r="BP569" t="s">
        <v>74</v>
      </c>
      <c r="BQ569" t="s">
        <v>74</v>
      </c>
      <c r="BR569" t="s">
        <v>98</v>
      </c>
      <c r="BS569" t="s">
        <v>8443</v>
      </c>
      <c r="BT569" t="str">
        <f>HYPERLINK("https%3A%2F%2Fwww.webofscience.com%2Fwos%2Fwoscc%2Ffull-record%2FWOS:000222653900001","View Full Record in Web of Science")</f>
        <v>View Full Record in Web of Science</v>
      </c>
    </row>
    <row r="570" spans="1:72" x14ac:dyDescent="0.15">
      <c r="A570" t="s">
        <v>122</v>
      </c>
      <c r="B570" t="s">
        <v>8444</v>
      </c>
      <c r="C570" t="s">
        <v>74</v>
      </c>
      <c r="D570" t="s">
        <v>74</v>
      </c>
      <c r="E570" t="s">
        <v>74</v>
      </c>
      <c r="F570" t="s">
        <v>8444</v>
      </c>
      <c r="G570" t="s">
        <v>74</v>
      </c>
      <c r="H570" t="s">
        <v>74</v>
      </c>
      <c r="I570" t="s">
        <v>8445</v>
      </c>
      <c r="J570" t="s">
        <v>365</v>
      </c>
      <c r="K570" t="s">
        <v>74</v>
      </c>
      <c r="L570" t="s">
        <v>74</v>
      </c>
      <c r="M570" t="s">
        <v>79</v>
      </c>
      <c r="N570" t="s">
        <v>126</v>
      </c>
      <c r="O570" t="s">
        <v>74</v>
      </c>
      <c r="P570" t="s">
        <v>74</v>
      </c>
      <c r="Q570" t="s">
        <v>74</v>
      </c>
      <c r="R570" t="s">
        <v>74</v>
      </c>
      <c r="S570" t="s">
        <v>74</v>
      </c>
      <c r="T570" t="s">
        <v>74</v>
      </c>
      <c r="U570" t="s">
        <v>8446</v>
      </c>
      <c r="V570" t="s">
        <v>8447</v>
      </c>
      <c r="W570" t="s">
        <v>8448</v>
      </c>
      <c r="X570" t="s">
        <v>8449</v>
      </c>
      <c r="Y570" t="s">
        <v>8450</v>
      </c>
      <c r="Z570" t="s">
        <v>8451</v>
      </c>
      <c r="AA570" t="s">
        <v>8452</v>
      </c>
      <c r="AB570" t="s">
        <v>8453</v>
      </c>
      <c r="AC570" t="s">
        <v>74</v>
      </c>
      <c r="AD570" t="s">
        <v>74</v>
      </c>
      <c r="AE570" t="s">
        <v>74</v>
      </c>
      <c r="AF570" t="s">
        <v>74</v>
      </c>
      <c r="AG570">
        <v>50</v>
      </c>
      <c r="AH570">
        <v>278</v>
      </c>
      <c r="AI570">
        <v>314</v>
      </c>
      <c r="AJ570">
        <v>1</v>
      </c>
      <c r="AK570">
        <v>37</v>
      </c>
      <c r="AL570" t="s">
        <v>374</v>
      </c>
      <c r="AM570" t="s">
        <v>375</v>
      </c>
      <c r="AN570" t="s">
        <v>376</v>
      </c>
      <c r="AO570" t="s">
        <v>377</v>
      </c>
      <c r="AP570" t="s">
        <v>74</v>
      </c>
      <c r="AQ570" t="s">
        <v>74</v>
      </c>
      <c r="AR570" t="s">
        <v>365</v>
      </c>
      <c r="AS570" t="s">
        <v>379</v>
      </c>
      <c r="AT570" t="s">
        <v>8454</v>
      </c>
      <c r="AU570">
        <v>2004</v>
      </c>
      <c r="AV570">
        <v>430</v>
      </c>
      <c r="AW570">
        <v>6996</v>
      </c>
      <c r="AX570" t="s">
        <v>74</v>
      </c>
      <c r="AY570" t="s">
        <v>74</v>
      </c>
      <c r="AZ570" t="s">
        <v>74</v>
      </c>
      <c r="BA570" t="s">
        <v>74</v>
      </c>
      <c r="BB570">
        <v>167</v>
      </c>
      <c r="BC570">
        <v>173</v>
      </c>
      <c r="BD570" t="s">
        <v>74</v>
      </c>
      <c r="BE570" t="s">
        <v>8455</v>
      </c>
      <c r="BF570" t="str">
        <f>HYPERLINK("http://dx.doi.org/10.1038/nature02660","http://dx.doi.org/10.1038/nature02660")</f>
        <v>http://dx.doi.org/10.1038/nature02660</v>
      </c>
      <c r="BG570" t="s">
        <v>74</v>
      </c>
      <c r="BH570" t="s">
        <v>74</v>
      </c>
      <c r="BI570">
        <v>7</v>
      </c>
      <c r="BJ570" t="s">
        <v>381</v>
      </c>
      <c r="BK570" t="s">
        <v>139</v>
      </c>
      <c r="BL570" t="s">
        <v>382</v>
      </c>
      <c r="BM570" t="s">
        <v>8456</v>
      </c>
      <c r="BN570">
        <v>15241405</v>
      </c>
      <c r="BO570" t="s">
        <v>74</v>
      </c>
      <c r="BP570" t="s">
        <v>74</v>
      </c>
      <c r="BQ570" t="s">
        <v>74</v>
      </c>
      <c r="BR570" t="s">
        <v>98</v>
      </c>
      <c r="BS570" t="s">
        <v>8457</v>
      </c>
      <c r="BT570" t="str">
        <f>HYPERLINK("https%3A%2F%2Fwww.webofscience.com%2Fwos%2Fwoscc%2Ffull-record%2FWOS:000222470600034","View Full Record in Web of Science")</f>
        <v>View Full Record in Web of Science</v>
      </c>
    </row>
    <row r="571" spans="1:72" x14ac:dyDescent="0.15">
      <c r="A571" t="s">
        <v>122</v>
      </c>
      <c r="B571" t="s">
        <v>3504</v>
      </c>
      <c r="C571" t="s">
        <v>74</v>
      </c>
      <c r="D571" t="s">
        <v>74</v>
      </c>
      <c r="E571" t="s">
        <v>74</v>
      </c>
      <c r="F571" t="s">
        <v>3504</v>
      </c>
      <c r="G571" t="s">
        <v>74</v>
      </c>
      <c r="H571" t="s">
        <v>74</v>
      </c>
      <c r="I571" t="s">
        <v>8458</v>
      </c>
      <c r="J571" t="s">
        <v>8459</v>
      </c>
      <c r="K571" t="s">
        <v>74</v>
      </c>
      <c r="L571" t="s">
        <v>74</v>
      </c>
      <c r="M571" t="s">
        <v>79</v>
      </c>
      <c r="N571" t="s">
        <v>840</v>
      </c>
      <c r="O571" t="s">
        <v>74</v>
      </c>
      <c r="P571" t="s">
        <v>74</v>
      </c>
      <c r="Q571" t="s">
        <v>74</v>
      </c>
      <c r="R571" t="s">
        <v>74</v>
      </c>
      <c r="S571" t="s">
        <v>74</v>
      </c>
      <c r="T571" t="s">
        <v>74</v>
      </c>
      <c r="U571" t="s">
        <v>74</v>
      </c>
      <c r="V571" t="s">
        <v>74</v>
      </c>
      <c r="W571" t="s">
        <v>74</v>
      </c>
      <c r="X571" t="s">
        <v>74</v>
      </c>
      <c r="Y571" t="s">
        <v>74</v>
      </c>
      <c r="Z571" t="s">
        <v>74</v>
      </c>
      <c r="AA571" t="s">
        <v>74</v>
      </c>
      <c r="AB571" t="s">
        <v>74</v>
      </c>
      <c r="AC571" t="s">
        <v>74</v>
      </c>
      <c r="AD571" t="s">
        <v>74</v>
      </c>
      <c r="AE571" t="s">
        <v>74</v>
      </c>
      <c r="AF571" t="s">
        <v>74</v>
      </c>
      <c r="AG571">
        <v>0</v>
      </c>
      <c r="AH571">
        <v>0</v>
      </c>
      <c r="AI571">
        <v>0</v>
      </c>
      <c r="AJ571">
        <v>0</v>
      </c>
      <c r="AK571">
        <v>0</v>
      </c>
      <c r="AL571" t="s">
        <v>8460</v>
      </c>
      <c r="AM571" t="s">
        <v>8461</v>
      </c>
      <c r="AN571" t="s">
        <v>8462</v>
      </c>
      <c r="AO571" t="s">
        <v>8463</v>
      </c>
      <c r="AP571" t="s">
        <v>74</v>
      </c>
      <c r="AQ571" t="s">
        <v>74</v>
      </c>
      <c r="AR571" t="s">
        <v>8464</v>
      </c>
      <c r="AS571" t="s">
        <v>8465</v>
      </c>
      <c r="AT571" t="s">
        <v>8466</v>
      </c>
      <c r="AU571">
        <v>2004</v>
      </c>
      <c r="AV571">
        <v>17</v>
      </c>
      <c r="AW571">
        <v>12</v>
      </c>
      <c r="AX571" t="s">
        <v>74</v>
      </c>
      <c r="AY571" t="s">
        <v>74</v>
      </c>
      <c r="AZ571" t="s">
        <v>74</v>
      </c>
      <c r="BA571" t="s">
        <v>74</v>
      </c>
      <c r="BB571">
        <v>49</v>
      </c>
      <c r="BC571">
        <v>49</v>
      </c>
      <c r="BD571" t="s">
        <v>74</v>
      </c>
      <c r="BE571" t="s">
        <v>74</v>
      </c>
      <c r="BF571" t="s">
        <v>74</v>
      </c>
      <c r="BG571" t="s">
        <v>74</v>
      </c>
      <c r="BH571" t="s">
        <v>74</v>
      </c>
      <c r="BI571">
        <v>1</v>
      </c>
      <c r="BJ571" t="s">
        <v>8467</v>
      </c>
      <c r="BK571" t="s">
        <v>139</v>
      </c>
      <c r="BL571" t="s">
        <v>2036</v>
      </c>
      <c r="BM571" t="s">
        <v>8468</v>
      </c>
      <c r="BN571" t="s">
        <v>74</v>
      </c>
      <c r="BO571" t="s">
        <v>74</v>
      </c>
      <c r="BP571" t="s">
        <v>74</v>
      </c>
      <c r="BQ571" t="s">
        <v>74</v>
      </c>
      <c r="BR571" t="s">
        <v>98</v>
      </c>
      <c r="BS571" t="s">
        <v>8469</v>
      </c>
      <c r="BT571" t="str">
        <f>HYPERLINK("https%3A%2F%2Fwww.webofscience.com%2Fwos%2Fwoscc%2Ffull-record%2FWOS:000222695200060","View Full Record in Web of Science")</f>
        <v>View Full Record in Web of Science</v>
      </c>
    </row>
    <row r="572" spans="1:72" x14ac:dyDescent="0.15">
      <c r="A572" t="s">
        <v>122</v>
      </c>
      <c r="B572" t="s">
        <v>8470</v>
      </c>
      <c r="C572" t="s">
        <v>74</v>
      </c>
      <c r="D572" t="s">
        <v>74</v>
      </c>
      <c r="E572" t="s">
        <v>74</v>
      </c>
      <c r="F572" t="s">
        <v>8470</v>
      </c>
      <c r="G572" t="s">
        <v>74</v>
      </c>
      <c r="H572" t="s">
        <v>74</v>
      </c>
      <c r="I572" t="s">
        <v>8471</v>
      </c>
      <c r="J572" t="s">
        <v>230</v>
      </c>
      <c r="K572" t="s">
        <v>74</v>
      </c>
      <c r="L572" t="s">
        <v>74</v>
      </c>
      <c r="M572" t="s">
        <v>79</v>
      </c>
      <c r="N572" t="s">
        <v>126</v>
      </c>
      <c r="O572" t="s">
        <v>74</v>
      </c>
      <c r="P572" t="s">
        <v>74</v>
      </c>
      <c r="Q572" t="s">
        <v>74</v>
      </c>
      <c r="R572" t="s">
        <v>74</v>
      </c>
      <c r="S572" t="s">
        <v>74</v>
      </c>
      <c r="T572" t="s">
        <v>74</v>
      </c>
      <c r="U572" t="s">
        <v>8472</v>
      </c>
      <c r="V572" t="s">
        <v>8473</v>
      </c>
      <c r="W572" t="s">
        <v>8474</v>
      </c>
      <c r="X572" t="s">
        <v>6885</v>
      </c>
      <c r="Y572" t="s">
        <v>8475</v>
      </c>
      <c r="Z572" t="s">
        <v>8476</v>
      </c>
      <c r="AA572" t="s">
        <v>74</v>
      </c>
      <c r="AB572" t="s">
        <v>8477</v>
      </c>
      <c r="AC572" t="s">
        <v>74</v>
      </c>
      <c r="AD572" t="s">
        <v>74</v>
      </c>
      <c r="AE572" t="s">
        <v>74</v>
      </c>
      <c r="AF572" t="s">
        <v>74</v>
      </c>
      <c r="AG572">
        <v>22</v>
      </c>
      <c r="AH572">
        <v>10</v>
      </c>
      <c r="AI572">
        <v>10</v>
      </c>
      <c r="AJ572">
        <v>0</v>
      </c>
      <c r="AK572">
        <v>5</v>
      </c>
      <c r="AL572" t="s">
        <v>239</v>
      </c>
      <c r="AM572" t="s">
        <v>240</v>
      </c>
      <c r="AN572" t="s">
        <v>241</v>
      </c>
      <c r="AO572" t="s">
        <v>242</v>
      </c>
      <c r="AP572" t="s">
        <v>74</v>
      </c>
      <c r="AQ572" t="s">
        <v>74</v>
      </c>
      <c r="AR572" t="s">
        <v>243</v>
      </c>
      <c r="AS572" t="s">
        <v>244</v>
      </c>
      <c r="AT572" t="s">
        <v>8478</v>
      </c>
      <c r="AU572">
        <v>2004</v>
      </c>
      <c r="AV572">
        <v>31</v>
      </c>
      <c r="AW572">
        <v>13</v>
      </c>
      <c r="AX572" t="s">
        <v>74</v>
      </c>
      <c r="AY572" t="s">
        <v>74</v>
      </c>
      <c r="AZ572" t="s">
        <v>74</v>
      </c>
      <c r="BA572" t="s">
        <v>74</v>
      </c>
      <c r="BB572" t="s">
        <v>74</v>
      </c>
      <c r="BC572" t="s">
        <v>74</v>
      </c>
      <c r="BD572" t="s">
        <v>8479</v>
      </c>
      <c r="BE572" t="s">
        <v>8480</v>
      </c>
      <c r="BF572" t="str">
        <f>HYPERLINK("http://dx.doi.org/10.1029/2003GL019355","http://dx.doi.org/10.1029/2003GL019355")</f>
        <v>http://dx.doi.org/10.1029/2003GL019355</v>
      </c>
      <c r="BG572" t="s">
        <v>74</v>
      </c>
      <c r="BH572" t="s">
        <v>74</v>
      </c>
      <c r="BI572">
        <v>4</v>
      </c>
      <c r="BJ572" t="s">
        <v>248</v>
      </c>
      <c r="BK572" t="s">
        <v>139</v>
      </c>
      <c r="BL572" t="s">
        <v>249</v>
      </c>
      <c r="BM572" t="s">
        <v>8481</v>
      </c>
      <c r="BN572" t="s">
        <v>74</v>
      </c>
      <c r="BO572" t="s">
        <v>74</v>
      </c>
      <c r="BP572" t="s">
        <v>74</v>
      </c>
      <c r="BQ572" t="s">
        <v>74</v>
      </c>
      <c r="BR572" t="s">
        <v>98</v>
      </c>
      <c r="BS572" t="s">
        <v>8482</v>
      </c>
      <c r="BT572" t="str">
        <f>HYPERLINK("https%3A%2F%2Fwww.webofscience.com%2Fwos%2Fwoscc%2Ffull-record%2FWOS:000222779700001","View Full Record in Web of Science")</f>
        <v>View Full Record in Web of Science</v>
      </c>
    </row>
    <row r="573" spans="1:72" x14ac:dyDescent="0.15">
      <c r="A573" t="s">
        <v>122</v>
      </c>
      <c r="B573" t="s">
        <v>8483</v>
      </c>
      <c r="C573" t="s">
        <v>74</v>
      </c>
      <c r="D573" t="s">
        <v>74</v>
      </c>
      <c r="E573" t="s">
        <v>74</v>
      </c>
      <c r="F573" t="s">
        <v>8483</v>
      </c>
      <c r="G573" t="s">
        <v>74</v>
      </c>
      <c r="H573" t="s">
        <v>74</v>
      </c>
      <c r="I573" t="s">
        <v>8484</v>
      </c>
      <c r="J573" t="s">
        <v>8485</v>
      </c>
      <c r="K573" t="s">
        <v>74</v>
      </c>
      <c r="L573" t="s">
        <v>74</v>
      </c>
      <c r="M573" t="s">
        <v>79</v>
      </c>
      <c r="N573" t="s">
        <v>126</v>
      </c>
      <c r="O573" t="s">
        <v>74</v>
      </c>
      <c r="P573" t="s">
        <v>74</v>
      </c>
      <c r="Q573" t="s">
        <v>74</v>
      </c>
      <c r="R573" t="s">
        <v>74</v>
      </c>
      <c r="S573" t="s">
        <v>74</v>
      </c>
      <c r="T573" t="s">
        <v>8486</v>
      </c>
      <c r="U573" t="s">
        <v>8487</v>
      </c>
      <c r="V573" t="s">
        <v>8488</v>
      </c>
      <c r="W573" t="s">
        <v>8489</v>
      </c>
      <c r="X573" t="s">
        <v>74</v>
      </c>
      <c r="Y573" t="s">
        <v>8490</v>
      </c>
      <c r="Z573" t="s">
        <v>8491</v>
      </c>
      <c r="AA573" t="s">
        <v>74</v>
      </c>
      <c r="AB573" t="s">
        <v>74</v>
      </c>
      <c r="AC573" t="s">
        <v>74</v>
      </c>
      <c r="AD573" t="s">
        <v>74</v>
      </c>
      <c r="AE573" t="s">
        <v>74</v>
      </c>
      <c r="AF573" t="s">
        <v>74</v>
      </c>
      <c r="AG573">
        <v>28</v>
      </c>
      <c r="AH573">
        <v>6</v>
      </c>
      <c r="AI573">
        <v>6</v>
      </c>
      <c r="AJ573">
        <v>1</v>
      </c>
      <c r="AK573">
        <v>4</v>
      </c>
      <c r="AL573" t="s">
        <v>1273</v>
      </c>
      <c r="AM573" t="s">
        <v>197</v>
      </c>
      <c r="AN573" t="s">
        <v>1274</v>
      </c>
      <c r="AO573" t="s">
        <v>8492</v>
      </c>
      <c r="AP573" t="s">
        <v>8493</v>
      </c>
      <c r="AQ573" t="s">
        <v>74</v>
      </c>
      <c r="AR573" t="s">
        <v>8494</v>
      </c>
      <c r="AS573" t="s">
        <v>8495</v>
      </c>
      <c r="AT573" t="s">
        <v>8496</v>
      </c>
      <c r="AU573">
        <v>2004</v>
      </c>
      <c r="AV573">
        <v>55</v>
      </c>
      <c r="AW573">
        <v>1</v>
      </c>
      <c r="AX573" t="s">
        <v>74</v>
      </c>
      <c r="AY573" t="s">
        <v>74</v>
      </c>
      <c r="AZ573" t="s">
        <v>74</v>
      </c>
      <c r="BA573" t="s">
        <v>74</v>
      </c>
      <c r="BB573">
        <v>51</v>
      </c>
      <c r="BC573">
        <v>60</v>
      </c>
      <c r="BD573" t="s">
        <v>74</v>
      </c>
      <c r="BE573" t="s">
        <v>8497</v>
      </c>
      <c r="BF573" t="str">
        <f>HYPERLINK("http://dx.doi.org/10.1016/j.actaastro.2003.12.015","http://dx.doi.org/10.1016/j.actaastro.2003.12.015")</f>
        <v>http://dx.doi.org/10.1016/j.actaastro.2003.12.015</v>
      </c>
      <c r="BG573" t="s">
        <v>74</v>
      </c>
      <c r="BH573" t="s">
        <v>74</v>
      </c>
      <c r="BI573">
        <v>10</v>
      </c>
      <c r="BJ573" t="s">
        <v>8498</v>
      </c>
      <c r="BK573" t="s">
        <v>139</v>
      </c>
      <c r="BL573" t="s">
        <v>2036</v>
      </c>
      <c r="BM573" t="s">
        <v>8499</v>
      </c>
      <c r="BN573">
        <v>15786592</v>
      </c>
      <c r="BO573" t="s">
        <v>74</v>
      </c>
      <c r="BP573" t="s">
        <v>74</v>
      </c>
      <c r="BQ573" t="s">
        <v>74</v>
      </c>
      <c r="BR573" t="s">
        <v>98</v>
      </c>
      <c r="BS573" t="s">
        <v>8500</v>
      </c>
      <c r="BT573" t="str">
        <f>HYPERLINK("https%3A%2F%2Fwww.webofscience.com%2Fwos%2Fwoscc%2Ffull-record%2FWOS:000221204400006","View Full Record in Web of Science")</f>
        <v>View Full Record in Web of Science</v>
      </c>
    </row>
    <row r="574" spans="1:72" x14ac:dyDescent="0.15">
      <c r="A574" t="s">
        <v>122</v>
      </c>
      <c r="B574" t="s">
        <v>8501</v>
      </c>
      <c r="C574" t="s">
        <v>74</v>
      </c>
      <c r="D574" t="s">
        <v>74</v>
      </c>
      <c r="E574" t="s">
        <v>74</v>
      </c>
      <c r="F574" t="s">
        <v>8501</v>
      </c>
      <c r="G574" t="s">
        <v>74</v>
      </c>
      <c r="H574" t="s">
        <v>74</v>
      </c>
      <c r="I574" t="s">
        <v>8502</v>
      </c>
      <c r="J574" t="s">
        <v>8503</v>
      </c>
      <c r="K574" t="s">
        <v>74</v>
      </c>
      <c r="L574" t="s">
        <v>74</v>
      </c>
      <c r="M574" t="s">
        <v>79</v>
      </c>
      <c r="N574" t="s">
        <v>126</v>
      </c>
      <c r="O574" t="s">
        <v>74</v>
      </c>
      <c r="P574" t="s">
        <v>74</v>
      </c>
      <c r="Q574" t="s">
        <v>74</v>
      </c>
      <c r="R574" t="s">
        <v>74</v>
      </c>
      <c r="S574" t="s">
        <v>74</v>
      </c>
      <c r="T574" t="s">
        <v>74</v>
      </c>
      <c r="U574" t="s">
        <v>74</v>
      </c>
      <c r="V574" t="s">
        <v>8504</v>
      </c>
      <c r="W574" t="s">
        <v>113</v>
      </c>
      <c r="X574" t="s">
        <v>103</v>
      </c>
      <c r="Y574" t="s">
        <v>5429</v>
      </c>
      <c r="Z574" t="s">
        <v>7775</v>
      </c>
      <c r="AA574" t="s">
        <v>7776</v>
      </c>
      <c r="AB574" t="s">
        <v>7777</v>
      </c>
      <c r="AC574" t="s">
        <v>74</v>
      </c>
      <c r="AD574" t="s">
        <v>74</v>
      </c>
      <c r="AE574" t="s">
        <v>74</v>
      </c>
      <c r="AF574" t="s">
        <v>74</v>
      </c>
      <c r="AG574">
        <v>14</v>
      </c>
      <c r="AH574">
        <v>63</v>
      </c>
      <c r="AI574">
        <v>69</v>
      </c>
      <c r="AJ574">
        <v>0</v>
      </c>
      <c r="AK574">
        <v>10</v>
      </c>
      <c r="AL574" t="s">
        <v>196</v>
      </c>
      <c r="AM574" t="s">
        <v>197</v>
      </c>
      <c r="AN574" t="s">
        <v>198</v>
      </c>
      <c r="AO574" t="s">
        <v>8505</v>
      </c>
      <c r="AP574" t="s">
        <v>8506</v>
      </c>
      <c r="AQ574" t="s">
        <v>74</v>
      </c>
      <c r="AR574" t="s">
        <v>8503</v>
      </c>
      <c r="AS574" t="s">
        <v>8507</v>
      </c>
      <c r="AT574" t="s">
        <v>8508</v>
      </c>
      <c r="AU574">
        <v>2004</v>
      </c>
      <c r="AV574">
        <v>20</v>
      </c>
      <c r="AW574">
        <v>10</v>
      </c>
      <c r="AX574" t="s">
        <v>74</v>
      </c>
      <c r="AY574" t="s">
        <v>74</v>
      </c>
      <c r="AZ574" t="s">
        <v>74</v>
      </c>
      <c r="BA574" t="s">
        <v>74</v>
      </c>
      <c r="BB574">
        <v>1644</v>
      </c>
      <c r="BC574">
        <v>1645</v>
      </c>
      <c r="BD574" t="s">
        <v>74</v>
      </c>
      <c r="BE574" t="s">
        <v>8509</v>
      </c>
      <c r="BF574" t="str">
        <f>HYPERLINK("http://dx.doi.org/10.1093/bioinformatics/bth121","http://dx.doi.org/10.1093/bioinformatics/bth121")</f>
        <v>http://dx.doi.org/10.1093/bioinformatics/bth121</v>
      </c>
      <c r="BG574" t="s">
        <v>74</v>
      </c>
      <c r="BH574" t="s">
        <v>74</v>
      </c>
      <c r="BI574">
        <v>2</v>
      </c>
      <c r="BJ574" t="s">
        <v>8510</v>
      </c>
      <c r="BK574" t="s">
        <v>139</v>
      </c>
      <c r="BL574" t="s">
        <v>8511</v>
      </c>
      <c r="BM574" t="s">
        <v>8512</v>
      </c>
      <c r="BN574">
        <v>14962918</v>
      </c>
      <c r="BO574" t="s">
        <v>1866</v>
      </c>
      <c r="BP574" t="s">
        <v>74</v>
      </c>
      <c r="BQ574" t="s">
        <v>74</v>
      </c>
      <c r="BR574" t="s">
        <v>98</v>
      </c>
      <c r="BS574" t="s">
        <v>8513</v>
      </c>
      <c r="BT574" t="str">
        <f>HYPERLINK("https%3A%2F%2Fwww.webofscience.com%2Fwos%2Fwoscc%2Ffull-record%2FWOS:000222402400026","View Full Record in Web of Science")</f>
        <v>View Full Record in Web of Science</v>
      </c>
    </row>
    <row r="575" spans="1:72" x14ac:dyDescent="0.15">
      <c r="A575" t="s">
        <v>122</v>
      </c>
      <c r="B575" t="s">
        <v>8514</v>
      </c>
      <c r="C575" t="s">
        <v>74</v>
      </c>
      <c r="D575" t="s">
        <v>74</v>
      </c>
      <c r="E575" t="s">
        <v>74</v>
      </c>
      <c r="F575" t="s">
        <v>8514</v>
      </c>
      <c r="G575" t="s">
        <v>74</v>
      </c>
      <c r="H575" t="s">
        <v>74</v>
      </c>
      <c r="I575" t="s">
        <v>8515</v>
      </c>
      <c r="J575" t="s">
        <v>8516</v>
      </c>
      <c r="K575" t="s">
        <v>74</v>
      </c>
      <c r="L575" t="s">
        <v>74</v>
      </c>
      <c r="M575" t="s">
        <v>79</v>
      </c>
      <c r="N575" t="s">
        <v>126</v>
      </c>
      <c r="O575" t="s">
        <v>74</v>
      </c>
      <c r="P575" t="s">
        <v>74</v>
      </c>
      <c r="Q575" t="s">
        <v>74</v>
      </c>
      <c r="R575" t="s">
        <v>74</v>
      </c>
      <c r="S575" t="s">
        <v>74</v>
      </c>
      <c r="T575" t="s">
        <v>74</v>
      </c>
      <c r="U575" t="s">
        <v>8517</v>
      </c>
      <c r="V575" t="s">
        <v>8518</v>
      </c>
      <c r="W575" t="s">
        <v>2323</v>
      </c>
      <c r="X575" t="s">
        <v>748</v>
      </c>
      <c r="Y575" t="s">
        <v>502</v>
      </c>
      <c r="Z575" t="s">
        <v>8519</v>
      </c>
      <c r="AA575" t="s">
        <v>8520</v>
      </c>
      <c r="AB575" t="s">
        <v>8521</v>
      </c>
      <c r="AC575" t="s">
        <v>74</v>
      </c>
      <c r="AD575" t="s">
        <v>74</v>
      </c>
      <c r="AE575" t="s">
        <v>74</v>
      </c>
      <c r="AF575" t="s">
        <v>74</v>
      </c>
      <c r="AG575">
        <v>34</v>
      </c>
      <c r="AH575">
        <v>9</v>
      </c>
      <c r="AI575">
        <v>10</v>
      </c>
      <c r="AJ575">
        <v>0</v>
      </c>
      <c r="AK575">
        <v>5</v>
      </c>
      <c r="AL575" t="s">
        <v>8522</v>
      </c>
      <c r="AM575" t="s">
        <v>5719</v>
      </c>
      <c r="AN575" t="s">
        <v>8523</v>
      </c>
      <c r="AO575" t="s">
        <v>7555</v>
      </c>
      <c r="AP575" t="s">
        <v>8524</v>
      </c>
      <c r="AQ575" t="s">
        <v>74</v>
      </c>
      <c r="AR575" t="s">
        <v>7556</v>
      </c>
      <c r="AS575" t="s">
        <v>8525</v>
      </c>
      <c r="AT575" t="s">
        <v>8496</v>
      </c>
      <c r="AU575">
        <v>2004</v>
      </c>
      <c r="AV575">
        <v>82</v>
      </c>
      <c r="AW575">
        <v>7</v>
      </c>
      <c r="AX575" t="s">
        <v>74</v>
      </c>
      <c r="AY575" t="s">
        <v>74</v>
      </c>
      <c r="AZ575" t="s">
        <v>74</v>
      </c>
      <c r="BA575" t="s">
        <v>74</v>
      </c>
      <c r="BB575">
        <v>1099</v>
      </c>
      <c r="BC575">
        <v>1107</v>
      </c>
      <c r="BD575" t="s">
        <v>74</v>
      </c>
      <c r="BE575" t="s">
        <v>8526</v>
      </c>
      <c r="BF575" t="str">
        <f>HYPERLINK("http://dx.doi.org/10.1139/Z04-088","http://dx.doi.org/10.1139/Z04-088")</f>
        <v>http://dx.doi.org/10.1139/Z04-088</v>
      </c>
      <c r="BG575" t="s">
        <v>74</v>
      </c>
      <c r="BH575" t="s">
        <v>74</v>
      </c>
      <c r="BI575">
        <v>9</v>
      </c>
      <c r="BJ575" t="s">
        <v>205</v>
      </c>
      <c r="BK575" t="s">
        <v>139</v>
      </c>
      <c r="BL575" t="s">
        <v>205</v>
      </c>
      <c r="BM575" t="s">
        <v>8527</v>
      </c>
      <c r="BN575" t="s">
        <v>74</v>
      </c>
      <c r="BO575" t="s">
        <v>74</v>
      </c>
      <c r="BP575" t="s">
        <v>74</v>
      </c>
      <c r="BQ575" t="s">
        <v>74</v>
      </c>
      <c r="BR575" t="s">
        <v>98</v>
      </c>
      <c r="BS575" t="s">
        <v>8528</v>
      </c>
      <c r="BT575" t="str">
        <f>HYPERLINK("https%3A%2F%2Fwww.webofscience.com%2Fwos%2Fwoscc%2Ffull-record%2FWOS:000224706100012","View Full Record in Web of Science")</f>
        <v>View Full Record in Web of Science</v>
      </c>
    </row>
    <row r="576" spans="1:72" x14ac:dyDescent="0.15">
      <c r="A576" t="s">
        <v>122</v>
      </c>
      <c r="B576" t="s">
        <v>8529</v>
      </c>
      <c r="C576" t="s">
        <v>74</v>
      </c>
      <c r="D576" t="s">
        <v>74</v>
      </c>
      <c r="E576" t="s">
        <v>74</v>
      </c>
      <c r="F576" t="s">
        <v>8529</v>
      </c>
      <c r="G576" t="s">
        <v>74</v>
      </c>
      <c r="H576" t="s">
        <v>74</v>
      </c>
      <c r="I576" t="s">
        <v>8530</v>
      </c>
      <c r="J576" t="s">
        <v>7546</v>
      </c>
      <c r="K576" t="s">
        <v>74</v>
      </c>
      <c r="L576" t="s">
        <v>74</v>
      </c>
      <c r="M576" t="s">
        <v>79</v>
      </c>
      <c r="N576" t="s">
        <v>126</v>
      </c>
      <c r="O576" t="s">
        <v>74</v>
      </c>
      <c r="P576" t="s">
        <v>74</v>
      </c>
      <c r="Q576" t="s">
        <v>74</v>
      </c>
      <c r="R576" t="s">
        <v>74</v>
      </c>
      <c r="S576" t="s">
        <v>74</v>
      </c>
      <c r="T576" t="s">
        <v>74</v>
      </c>
      <c r="U576" t="s">
        <v>8531</v>
      </c>
      <c r="V576" t="s">
        <v>8532</v>
      </c>
      <c r="W576" t="s">
        <v>8533</v>
      </c>
      <c r="X576" t="s">
        <v>8534</v>
      </c>
      <c r="Y576" t="s">
        <v>8535</v>
      </c>
      <c r="Z576" t="s">
        <v>8536</v>
      </c>
      <c r="AA576" t="s">
        <v>8537</v>
      </c>
      <c r="AB576" t="s">
        <v>1744</v>
      </c>
      <c r="AC576" t="s">
        <v>74</v>
      </c>
      <c r="AD576" t="s">
        <v>74</v>
      </c>
      <c r="AE576" t="s">
        <v>74</v>
      </c>
      <c r="AF576" t="s">
        <v>74</v>
      </c>
      <c r="AG576">
        <v>45</v>
      </c>
      <c r="AH576">
        <v>32</v>
      </c>
      <c r="AI576">
        <v>38</v>
      </c>
      <c r="AJ576">
        <v>0</v>
      </c>
      <c r="AK576">
        <v>13</v>
      </c>
      <c r="AL576" t="s">
        <v>7553</v>
      </c>
      <c r="AM576" t="s">
        <v>5719</v>
      </c>
      <c r="AN576" t="s">
        <v>7554</v>
      </c>
      <c r="AO576" t="s">
        <v>7555</v>
      </c>
      <c r="AP576" t="s">
        <v>74</v>
      </c>
      <c r="AQ576" t="s">
        <v>74</v>
      </c>
      <c r="AR576" t="s">
        <v>7556</v>
      </c>
      <c r="AS576" t="s">
        <v>7557</v>
      </c>
      <c r="AT576" t="s">
        <v>8496</v>
      </c>
      <c r="AU576">
        <v>2004</v>
      </c>
      <c r="AV576">
        <v>82</v>
      </c>
      <c r="AW576">
        <v>7</v>
      </c>
      <c r="AX576" t="s">
        <v>74</v>
      </c>
      <c r="AY576" t="s">
        <v>74</v>
      </c>
      <c r="AZ576" t="s">
        <v>74</v>
      </c>
      <c r="BA576" t="s">
        <v>74</v>
      </c>
      <c r="BB576">
        <v>1061</v>
      </c>
      <c r="BC576">
        <v>1069</v>
      </c>
      <c r="BD576" t="s">
        <v>74</v>
      </c>
      <c r="BE576" t="s">
        <v>8538</v>
      </c>
      <c r="BF576" t="str">
        <f>HYPERLINK("http://dx.doi.org/10.1139/Z04-082","http://dx.doi.org/10.1139/Z04-082")</f>
        <v>http://dx.doi.org/10.1139/Z04-082</v>
      </c>
      <c r="BG576" t="s">
        <v>74</v>
      </c>
      <c r="BH576" t="s">
        <v>74</v>
      </c>
      <c r="BI576">
        <v>9</v>
      </c>
      <c r="BJ576" t="s">
        <v>205</v>
      </c>
      <c r="BK576" t="s">
        <v>139</v>
      </c>
      <c r="BL576" t="s">
        <v>205</v>
      </c>
      <c r="BM576" t="s">
        <v>8527</v>
      </c>
      <c r="BN576" t="s">
        <v>74</v>
      </c>
      <c r="BO576" t="s">
        <v>74</v>
      </c>
      <c r="BP576" t="s">
        <v>74</v>
      </c>
      <c r="BQ576" t="s">
        <v>74</v>
      </c>
      <c r="BR576" t="s">
        <v>98</v>
      </c>
      <c r="BS576" t="s">
        <v>8539</v>
      </c>
      <c r="BT576" t="str">
        <f>HYPERLINK("https%3A%2F%2Fwww.webofscience.com%2Fwos%2Fwoscc%2Ffull-record%2FWOS:000224706100008","View Full Record in Web of Science")</f>
        <v>View Full Record in Web of Science</v>
      </c>
    </row>
    <row r="577" spans="1:72" x14ac:dyDescent="0.15">
      <c r="A577" t="s">
        <v>122</v>
      </c>
      <c r="B577" t="s">
        <v>8540</v>
      </c>
      <c r="C577" t="s">
        <v>74</v>
      </c>
      <c r="D577" t="s">
        <v>74</v>
      </c>
      <c r="E577" t="s">
        <v>74</v>
      </c>
      <c r="F577" t="s">
        <v>8540</v>
      </c>
      <c r="G577" t="s">
        <v>74</v>
      </c>
      <c r="H577" t="s">
        <v>74</v>
      </c>
      <c r="I577" t="s">
        <v>8541</v>
      </c>
      <c r="J577" t="s">
        <v>8542</v>
      </c>
      <c r="K577" t="s">
        <v>74</v>
      </c>
      <c r="L577" t="s">
        <v>74</v>
      </c>
      <c r="M577" t="s">
        <v>79</v>
      </c>
      <c r="N577" t="s">
        <v>581</v>
      </c>
      <c r="O577" t="s">
        <v>74</v>
      </c>
      <c r="P577" t="s">
        <v>74</v>
      </c>
      <c r="Q577" t="s">
        <v>74</v>
      </c>
      <c r="R577" t="s">
        <v>74</v>
      </c>
      <c r="S577" t="s">
        <v>74</v>
      </c>
      <c r="T577" t="s">
        <v>8543</v>
      </c>
      <c r="U577" t="s">
        <v>8544</v>
      </c>
      <c r="V577" t="s">
        <v>8545</v>
      </c>
      <c r="W577" t="s">
        <v>8546</v>
      </c>
      <c r="X577" t="s">
        <v>7678</v>
      </c>
      <c r="Y577" t="s">
        <v>8547</v>
      </c>
      <c r="Z577" t="s">
        <v>8548</v>
      </c>
      <c r="AA577" t="s">
        <v>8549</v>
      </c>
      <c r="AB577" t="s">
        <v>8550</v>
      </c>
      <c r="AC577" t="s">
        <v>74</v>
      </c>
      <c r="AD577" t="s">
        <v>74</v>
      </c>
      <c r="AE577" t="s">
        <v>74</v>
      </c>
      <c r="AF577" t="s">
        <v>74</v>
      </c>
      <c r="AG577">
        <v>92</v>
      </c>
      <c r="AH577">
        <v>13</v>
      </c>
      <c r="AI577">
        <v>14</v>
      </c>
      <c r="AJ577">
        <v>0</v>
      </c>
      <c r="AK577">
        <v>17</v>
      </c>
      <c r="AL577" t="s">
        <v>8551</v>
      </c>
      <c r="AM577" t="s">
        <v>8552</v>
      </c>
      <c r="AN577" t="s">
        <v>8553</v>
      </c>
      <c r="AO577" t="s">
        <v>8554</v>
      </c>
      <c r="AP577" t="s">
        <v>8555</v>
      </c>
      <c r="AQ577" t="s">
        <v>74</v>
      </c>
      <c r="AR577" t="s">
        <v>8556</v>
      </c>
      <c r="AS577" t="s">
        <v>8557</v>
      </c>
      <c r="AT577" t="s">
        <v>8496</v>
      </c>
      <c r="AU577">
        <v>2004</v>
      </c>
      <c r="AV577">
        <v>50</v>
      </c>
      <c r="AW577">
        <v>5</v>
      </c>
      <c r="AX577" t="s">
        <v>74</v>
      </c>
      <c r="AY577" t="s">
        <v>74</v>
      </c>
      <c r="AZ577" t="s">
        <v>74</v>
      </c>
      <c r="BA577" t="s">
        <v>74</v>
      </c>
      <c r="BB577">
        <v>503</v>
      </c>
      <c r="BC577">
        <v>515</v>
      </c>
      <c r="BD577" t="s">
        <v>74</v>
      </c>
      <c r="BE577" t="s">
        <v>74</v>
      </c>
      <c r="BF577" t="s">
        <v>74</v>
      </c>
      <c r="BG577" t="s">
        <v>74</v>
      </c>
      <c r="BH577" t="s">
        <v>74</v>
      </c>
      <c r="BI577">
        <v>13</v>
      </c>
      <c r="BJ577" t="s">
        <v>8558</v>
      </c>
      <c r="BK577" t="s">
        <v>139</v>
      </c>
      <c r="BL577" t="s">
        <v>8558</v>
      </c>
      <c r="BM577" t="s">
        <v>8559</v>
      </c>
      <c r="BN577">
        <v>15559967</v>
      </c>
      <c r="BO577" t="s">
        <v>74</v>
      </c>
      <c r="BP577" t="s">
        <v>74</v>
      </c>
      <c r="BQ577" t="s">
        <v>74</v>
      </c>
      <c r="BR577" t="s">
        <v>98</v>
      </c>
      <c r="BS577" t="s">
        <v>8560</v>
      </c>
      <c r="BT577" t="str">
        <f>HYPERLINK("https%3A%2F%2Fwww.webofscience.com%2Fwos%2Fwoscc%2Ffull-record%2FWOS:000225037100002","View Full Record in Web of Science")</f>
        <v>View Full Record in Web of Science</v>
      </c>
    </row>
    <row r="578" spans="1:72" x14ac:dyDescent="0.15">
      <c r="A578" t="s">
        <v>122</v>
      </c>
      <c r="B578" t="s">
        <v>8561</v>
      </c>
      <c r="C578" t="s">
        <v>74</v>
      </c>
      <c r="D578" t="s">
        <v>74</v>
      </c>
      <c r="E578" t="s">
        <v>74</v>
      </c>
      <c r="F578" t="s">
        <v>8561</v>
      </c>
      <c r="G578" t="s">
        <v>74</v>
      </c>
      <c r="H578" t="s">
        <v>74</v>
      </c>
      <c r="I578" t="s">
        <v>8562</v>
      </c>
      <c r="J578" t="s">
        <v>8542</v>
      </c>
      <c r="K578" t="s">
        <v>74</v>
      </c>
      <c r="L578" t="s">
        <v>74</v>
      </c>
      <c r="M578" t="s">
        <v>79</v>
      </c>
      <c r="N578" t="s">
        <v>126</v>
      </c>
      <c r="O578" t="s">
        <v>74</v>
      </c>
      <c r="P578" t="s">
        <v>74</v>
      </c>
      <c r="Q578" t="s">
        <v>74</v>
      </c>
      <c r="R578" t="s">
        <v>74</v>
      </c>
      <c r="S578" t="s">
        <v>74</v>
      </c>
      <c r="T578" t="s">
        <v>8563</v>
      </c>
      <c r="U578" t="s">
        <v>8564</v>
      </c>
      <c r="V578" t="s">
        <v>8565</v>
      </c>
      <c r="W578" t="s">
        <v>8566</v>
      </c>
      <c r="X578" t="s">
        <v>8567</v>
      </c>
      <c r="Y578" t="s">
        <v>8568</v>
      </c>
      <c r="Z578" t="s">
        <v>8569</v>
      </c>
      <c r="AA578" t="s">
        <v>74</v>
      </c>
      <c r="AB578" t="s">
        <v>8570</v>
      </c>
      <c r="AC578" t="s">
        <v>74</v>
      </c>
      <c r="AD578" t="s">
        <v>74</v>
      </c>
      <c r="AE578" t="s">
        <v>74</v>
      </c>
      <c r="AF578" t="s">
        <v>74</v>
      </c>
      <c r="AG578">
        <v>47</v>
      </c>
      <c r="AH578">
        <v>10</v>
      </c>
      <c r="AI578">
        <v>16</v>
      </c>
      <c r="AJ578">
        <v>0</v>
      </c>
      <c r="AK578">
        <v>10</v>
      </c>
      <c r="AL578" t="s">
        <v>8551</v>
      </c>
      <c r="AM578" t="s">
        <v>8552</v>
      </c>
      <c r="AN578" t="s">
        <v>8553</v>
      </c>
      <c r="AO578" t="s">
        <v>8554</v>
      </c>
      <c r="AP578" t="s">
        <v>8555</v>
      </c>
      <c r="AQ578" t="s">
        <v>74</v>
      </c>
      <c r="AR578" t="s">
        <v>8556</v>
      </c>
      <c r="AS578" t="s">
        <v>8557</v>
      </c>
      <c r="AT578" t="s">
        <v>8496</v>
      </c>
      <c r="AU578">
        <v>2004</v>
      </c>
      <c r="AV578">
        <v>50</v>
      </c>
      <c r="AW578">
        <v>5</v>
      </c>
      <c r="AX578" t="s">
        <v>74</v>
      </c>
      <c r="AY578" t="s">
        <v>74</v>
      </c>
      <c r="AZ578" t="s">
        <v>74</v>
      </c>
      <c r="BA578" t="s">
        <v>74</v>
      </c>
      <c r="BB578">
        <v>517</v>
      </c>
      <c r="BC578">
        <v>524</v>
      </c>
      <c r="BD578" t="s">
        <v>74</v>
      </c>
      <c r="BE578" t="s">
        <v>74</v>
      </c>
      <c r="BF578" t="s">
        <v>74</v>
      </c>
      <c r="BG578" t="s">
        <v>74</v>
      </c>
      <c r="BH578" t="s">
        <v>74</v>
      </c>
      <c r="BI578">
        <v>8</v>
      </c>
      <c r="BJ578" t="s">
        <v>8558</v>
      </c>
      <c r="BK578" t="s">
        <v>139</v>
      </c>
      <c r="BL578" t="s">
        <v>8558</v>
      </c>
      <c r="BM578" t="s">
        <v>8559</v>
      </c>
      <c r="BN578">
        <v>15559968</v>
      </c>
      <c r="BO578" t="s">
        <v>74</v>
      </c>
      <c r="BP578" t="s">
        <v>74</v>
      </c>
      <c r="BQ578" t="s">
        <v>74</v>
      </c>
      <c r="BR578" t="s">
        <v>98</v>
      </c>
      <c r="BS578" t="s">
        <v>8571</v>
      </c>
      <c r="BT578" t="str">
        <f>HYPERLINK("https%3A%2F%2Fwww.webofscience.com%2Fwos%2Fwoscc%2Ffull-record%2FWOS:000225037100003","View Full Record in Web of Science")</f>
        <v>View Full Record in Web of Science</v>
      </c>
    </row>
    <row r="579" spans="1:72" x14ac:dyDescent="0.15">
      <c r="A579" t="s">
        <v>122</v>
      </c>
      <c r="B579" t="s">
        <v>8572</v>
      </c>
      <c r="C579" t="s">
        <v>74</v>
      </c>
      <c r="D579" t="s">
        <v>74</v>
      </c>
      <c r="E579" t="s">
        <v>74</v>
      </c>
      <c r="F579" t="s">
        <v>8572</v>
      </c>
      <c r="G579" t="s">
        <v>74</v>
      </c>
      <c r="H579" t="s">
        <v>74</v>
      </c>
      <c r="I579" t="s">
        <v>8573</v>
      </c>
      <c r="J579" t="s">
        <v>8542</v>
      </c>
      <c r="K579" t="s">
        <v>74</v>
      </c>
      <c r="L579" t="s">
        <v>74</v>
      </c>
      <c r="M579" t="s">
        <v>79</v>
      </c>
      <c r="N579" t="s">
        <v>126</v>
      </c>
      <c r="O579" t="s">
        <v>74</v>
      </c>
      <c r="P579" t="s">
        <v>74</v>
      </c>
      <c r="Q579" t="s">
        <v>74</v>
      </c>
      <c r="R579" t="s">
        <v>74</v>
      </c>
      <c r="S579" t="s">
        <v>74</v>
      </c>
      <c r="T579" t="s">
        <v>8574</v>
      </c>
      <c r="U579" t="s">
        <v>8575</v>
      </c>
      <c r="V579" t="s">
        <v>8576</v>
      </c>
      <c r="W579" t="s">
        <v>8577</v>
      </c>
      <c r="X579" t="s">
        <v>8578</v>
      </c>
      <c r="Y579" t="s">
        <v>8579</v>
      </c>
      <c r="Z579" t="s">
        <v>8580</v>
      </c>
      <c r="AA579" t="s">
        <v>74</v>
      </c>
      <c r="AB579" t="s">
        <v>8581</v>
      </c>
      <c r="AC579" t="s">
        <v>74</v>
      </c>
      <c r="AD579" t="s">
        <v>74</v>
      </c>
      <c r="AE579" t="s">
        <v>74</v>
      </c>
      <c r="AF579" t="s">
        <v>74</v>
      </c>
      <c r="AG579">
        <v>69</v>
      </c>
      <c r="AH579">
        <v>80</v>
      </c>
      <c r="AI579">
        <v>90</v>
      </c>
      <c r="AJ579">
        <v>1</v>
      </c>
      <c r="AK579">
        <v>20</v>
      </c>
      <c r="AL579" t="s">
        <v>8582</v>
      </c>
      <c r="AM579" t="s">
        <v>8583</v>
      </c>
      <c r="AN579" t="s">
        <v>8584</v>
      </c>
      <c r="AO579" t="s">
        <v>8554</v>
      </c>
      <c r="AP579" t="s">
        <v>74</v>
      </c>
      <c r="AQ579" t="s">
        <v>74</v>
      </c>
      <c r="AR579" t="s">
        <v>8556</v>
      </c>
      <c r="AS579" t="s">
        <v>8557</v>
      </c>
      <c r="AT579" t="s">
        <v>8496</v>
      </c>
      <c r="AU579">
        <v>2004</v>
      </c>
      <c r="AV579">
        <v>50</v>
      </c>
      <c r="AW579">
        <v>5</v>
      </c>
      <c r="AX579" t="s">
        <v>74</v>
      </c>
      <c r="AY579" t="s">
        <v>74</v>
      </c>
      <c r="AZ579" t="s">
        <v>74</v>
      </c>
      <c r="BA579" t="s">
        <v>74</v>
      </c>
      <c r="BB579">
        <v>525</v>
      </c>
      <c r="BC579">
        <v>536</v>
      </c>
      <c r="BD579" t="s">
        <v>74</v>
      </c>
      <c r="BE579" t="s">
        <v>74</v>
      </c>
      <c r="BF579" t="s">
        <v>74</v>
      </c>
      <c r="BG579" t="s">
        <v>74</v>
      </c>
      <c r="BH579" t="s">
        <v>74</v>
      </c>
      <c r="BI579">
        <v>12</v>
      </c>
      <c r="BJ579" t="s">
        <v>8558</v>
      </c>
      <c r="BK579" t="s">
        <v>139</v>
      </c>
      <c r="BL579" t="s">
        <v>8558</v>
      </c>
      <c r="BM579" t="s">
        <v>8559</v>
      </c>
      <c r="BN579">
        <v>15559969</v>
      </c>
      <c r="BO579" t="s">
        <v>74</v>
      </c>
      <c r="BP579" t="s">
        <v>74</v>
      </c>
      <c r="BQ579" t="s">
        <v>74</v>
      </c>
      <c r="BR579" t="s">
        <v>98</v>
      </c>
      <c r="BS579" t="s">
        <v>8585</v>
      </c>
      <c r="BT579" t="str">
        <f>HYPERLINK("https%3A%2F%2Fwww.webofscience.com%2Fwos%2Fwoscc%2Ffull-record%2FWOS:000225037100004","View Full Record in Web of Science")</f>
        <v>View Full Record in Web of Science</v>
      </c>
    </row>
    <row r="580" spans="1:72" x14ac:dyDescent="0.15">
      <c r="A580" t="s">
        <v>122</v>
      </c>
      <c r="B580" t="s">
        <v>8586</v>
      </c>
      <c r="C580" t="s">
        <v>74</v>
      </c>
      <c r="D580" t="s">
        <v>74</v>
      </c>
      <c r="E580" t="s">
        <v>74</v>
      </c>
      <c r="F580" t="s">
        <v>8586</v>
      </c>
      <c r="G580" t="s">
        <v>74</v>
      </c>
      <c r="H580" t="s">
        <v>74</v>
      </c>
      <c r="I580" t="s">
        <v>8587</v>
      </c>
      <c r="J580" t="s">
        <v>8542</v>
      </c>
      <c r="K580" t="s">
        <v>74</v>
      </c>
      <c r="L580" t="s">
        <v>74</v>
      </c>
      <c r="M580" t="s">
        <v>79</v>
      </c>
      <c r="N580" t="s">
        <v>126</v>
      </c>
      <c r="O580" t="s">
        <v>74</v>
      </c>
      <c r="P580" t="s">
        <v>74</v>
      </c>
      <c r="Q580" t="s">
        <v>74</v>
      </c>
      <c r="R580" t="s">
        <v>74</v>
      </c>
      <c r="S580" t="s">
        <v>74</v>
      </c>
      <c r="T580" t="s">
        <v>8588</v>
      </c>
      <c r="U580" t="s">
        <v>8589</v>
      </c>
      <c r="V580" t="s">
        <v>8590</v>
      </c>
      <c r="W580" t="s">
        <v>8591</v>
      </c>
      <c r="X580" t="s">
        <v>8592</v>
      </c>
      <c r="Y580" t="s">
        <v>8593</v>
      </c>
      <c r="Z580" t="s">
        <v>5567</v>
      </c>
      <c r="AA580" t="s">
        <v>3516</v>
      </c>
      <c r="AB580" t="s">
        <v>8594</v>
      </c>
      <c r="AC580" t="s">
        <v>74</v>
      </c>
      <c r="AD580" t="s">
        <v>74</v>
      </c>
      <c r="AE580" t="s">
        <v>74</v>
      </c>
      <c r="AF580" t="s">
        <v>74</v>
      </c>
      <c r="AG580">
        <v>31</v>
      </c>
      <c r="AH580">
        <v>49</v>
      </c>
      <c r="AI580">
        <v>56</v>
      </c>
      <c r="AJ580">
        <v>0</v>
      </c>
      <c r="AK580">
        <v>21</v>
      </c>
      <c r="AL580" t="s">
        <v>8582</v>
      </c>
      <c r="AM580" t="s">
        <v>8583</v>
      </c>
      <c r="AN580" t="s">
        <v>8584</v>
      </c>
      <c r="AO580" t="s">
        <v>8554</v>
      </c>
      <c r="AP580" t="s">
        <v>74</v>
      </c>
      <c r="AQ580" t="s">
        <v>74</v>
      </c>
      <c r="AR580" t="s">
        <v>8556</v>
      </c>
      <c r="AS580" t="s">
        <v>8557</v>
      </c>
      <c r="AT580" t="s">
        <v>8496</v>
      </c>
      <c r="AU580">
        <v>2004</v>
      </c>
      <c r="AV580">
        <v>50</v>
      </c>
      <c r="AW580">
        <v>5</v>
      </c>
      <c r="AX580" t="s">
        <v>74</v>
      </c>
      <c r="AY580" t="s">
        <v>74</v>
      </c>
      <c r="AZ580" t="s">
        <v>74</v>
      </c>
      <c r="BA580" t="s">
        <v>74</v>
      </c>
      <c r="BB580">
        <v>537</v>
      </c>
      <c r="BC580">
        <v>542</v>
      </c>
      <c r="BD580" t="s">
        <v>74</v>
      </c>
      <c r="BE580" t="s">
        <v>74</v>
      </c>
      <c r="BF580" t="s">
        <v>74</v>
      </c>
      <c r="BG580" t="s">
        <v>74</v>
      </c>
      <c r="BH580" t="s">
        <v>74</v>
      </c>
      <c r="BI580">
        <v>6</v>
      </c>
      <c r="BJ580" t="s">
        <v>8558</v>
      </c>
      <c r="BK580" t="s">
        <v>139</v>
      </c>
      <c r="BL580" t="s">
        <v>8558</v>
      </c>
      <c r="BM580" t="s">
        <v>8559</v>
      </c>
      <c r="BN580">
        <v>15559970</v>
      </c>
      <c r="BO580" t="s">
        <v>74</v>
      </c>
      <c r="BP580" t="s">
        <v>74</v>
      </c>
      <c r="BQ580" t="s">
        <v>74</v>
      </c>
      <c r="BR580" t="s">
        <v>98</v>
      </c>
      <c r="BS580" t="s">
        <v>8595</v>
      </c>
      <c r="BT580" t="str">
        <f>HYPERLINK("https%3A%2F%2Fwww.webofscience.com%2Fwos%2Fwoscc%2Ffull-record%2FWOS:000225037100005","View Full Record in Web of Science")</f>
        <v>View Full Record in Web of Science</v>
      </c>
    </row>
    <row r="581" spans="1:72" x14ac:dyDescent="0.15">
      <c r="A581" t="s">
        <v>122</v>
      </c>
      <c r="B581" t="s">
        <v>8596</v>
      </c>
      <c r="C581" t="s">
        <v>74</v>
      </c>
      <c r="D581" t="s">
        <v>74</v>
      </c>
      <c r="E581" t="s">
        <v>74</v>
      </c>
      <c r="F581" t="s">
        <v>8596</v>
      </c>
      <c r="G581" t="s">
        <v>74</v>
      </c>
      <c r="H581" t="s">
        <v>74</v>
      </c>
      <c r="I581" t="s">
        <v>8597</v>
      </c>
      <c r="J581" t="s">
        <v>8542</v>
      </c>
      <c r="K581" t="s">
        <v>74</v>
      </c>
      <c r="L581" t="s">
        <v>74</v>
      </c>
      <c r="M581" t="s">
        <v>79</v>
      </c>
      <c r="N581" t="s">
        <v>581</v>
      </c>
      <c r="O581" t="s">
        <v>74</v>
      </c>
      <c r="P581" t="s">
        <v>74</v>
      </c>
      <c r="Q581" t="s">
        <v>74</v>
      </c>
      <c r="R581" t="s">
        <v>74</v>
      </c>
      <c r="S581" t="s">
        <v>74</v>
      </c>
      <c r="T581" t="s">
        <v>8598</v>
      </c>
      <c r="U581" t="s">
        <v>8599</v>
      </c>
      <c r="V581" t="s">
        <v>8600</v>
      </c>
      <c r="W581" t="s">
        <v>8601</v>
      </c>
      <c r="X581" t="s">
        <v>8602</v>
      </c>
      <c r="Y581" t="s">
        <v>8603</v>
      </c>
      <c r="Z581" t="s">
        <v>3027</v>
      </c>
      <c r="AA581" t="s">
        <v>8604</v>
      </c>
      <c r="AB581" t="s">
        <v>74</v>
      </c>
      <c r="AC581" t="s">
        <v>74</v>
      </c>
      <c r="AD581" t="s">
        <v>74</v>
      </c>
      <c r="AE581" t="s">
        <v>74</v>
      </c>
      <c r="AF581" t="s">
        <v>74</v>
      </c>
      <c r="AG581">
        <v>132</v>
      </c>
      <c r="AH581">
        <v>24</v>
      </c>
      <c r="AI581">
        <v>29</v>
      </c>
      <c r="AJ581">
        <v>0</v>
      </c>
      <c r="AK581">
        <v>16</v>
      </c>
      <c r="AL581" t="s">
        <v>8551</v>
      </c>
      <c r="AM581" t="s">
        <v>8552</v>
      </c>
      <c r="AN581" t="s">
        <v>8553</v>
      </c>
      <c r="AO581" t="s">
        <v>8554</v>
      </c>
      <c r="AP581" t="s">
        <v>8555</v>
      </c>
      <c r="AQ581" t="s">
        <v>74</v>
      </c>
      <c r="AR581" t="s">
        <v>8556</v>
      </c>
      <c r="AS581" t="s">
        <v>8557</v>
      </c>
      <c r="AT581" t="s">
        <v>8496</v>
      </c>
      <c r="AU581">
        <v>2004</v>
      </c>
      <c r="AV581">
        <v>50</v>
      </c>
      <c r="AW581">
        <v>5</v>
      </c>
      <c r="AX581" t="s">
        <v>74</v>
      </c>
      <c r="AY581" t="s">
        <v>74</v>
      </c>
      <c r="AZ581" t="s">
        <v>74</v>
      </c>
      <c r="BA581" t="s">
        <v>74</v>
      </c>
      <c r="BB581">
        <v>543</v>
      </c>
      <c r="BC581">
        <v>551</v>
      </c>
      <c r="BD581" t="s">
        <v>74</v>
      </c>
      <c r="BE581" t="s">
        <v>74</v>
      </c>
      <c r="BF581" t="s">
        <v>74</v>
      </c>
      <c r="BG581" t="s">
        <v>74</v>
      </c>
      <c r="BH581" t="s">
        <v>74</v>
      </c>
      <c r="BI581">
        <v>9</v>
      </c>
      <c r="BJ581" t="s">
        <v>8558</v>
      </c>
      <c r="BK581" t="s">
        <v>139</v>
      </c>
      <c r="BL581" t="s">
        <v>8558</v>
      </c>
      <c r="BM581" t="s">
        <v>8559</v>
      </c>
      <c r="BN581">
        <v>15559971</v>
      </c>
      <c r="BO581" t="s">
        <v>74</v>
      </c>
      <c r="BP581" t="s">
        <v>74</v>
      </c>
      <c r="BQ581" t="s">
        <v>74</v>
      </c>
      <c r="BR581" t="s">
        <v>98</v>
      </c>
      <c r="BS581" t="s">
        <v>8605</v>
      </c>
      <c r="BT581" t="str">
        <f>HYPERLINK("https%3A%2F%2Fwww.webofscience.com%2Fwos%2Fwoscc%2Ffull-record%2FWOS:000225037100006","View Full Record in Web of Science")</f>
        <v>View Full Record in Web of Science</v>
      </c>
    </row>
    <row r="582" spans="1:72" x14ac:dyDescent="0.15">
      <c r="A582" t="s">
        <v>122</v>
      </c>
      <c r="B582" t="s">
        <v>8606</v>
      </c>
      <c r="C582" t="s">
        <v>74</v>
      </c>
      <c r="D582" t="s">
        <v>74</v>
      </c>
      <c r="E582" t="s">
        <v>74</v>
      </c>
      <c r="F582" t="s">
        <v>8606</v>
      </c>
      <c r="G582" t="s">
        <v>74</v>
      </c>
      <c r="H582" t="s">
        <v>74</v>
      </c>
      <c r="I582" t="s">
        <v>8607</v>
      </c>
      <c r="J582" t="s">
        <v>8542</v>
      </c>
      <c r="K582" t="s">
        <v>74</v>
      </c>
      <c r="L582" t="s">
        <v>74</v>
      </c>
      <c r="M582" t="s">
        <v>79</v>
      </c>
      <c r="N582" t="s">
        <v>126</v>
      </c>
      <c r="O582" t="s">
        <v>74</v>
      </c>
      <c r="P582" t="s">
        <v>74</v>
      </c>
      <c r="Q582" t="s">
        <v>74</v>
      </c>
      <c r="R582" t="s">
        <v>74</v>
      </c>
      <c r="S582" t="s">
        <v>74</v>
      </c>
      <c r="T582" t="s">
        <v>8608</v>
      </c>
      <c r="U582" t="s">
        <v>8609</v>
      </c>
      <c r="V582" t="s">
        <v>8610</v>
      </c>
      <c r="W582" t="s">
        <v>1078</v>
      </c>
      <c r="X582" t="s">
        <v>548</v>
      </c>
      <c r="Y582" t="s">
        <v>8611</v>
      </c>
      <c r="Z582" t="s">
        <v>8612</v>
      </c>
      <c r="AA582" t="s">
        <v>74</v>
      </c>
      <c r="AB582" t="s">
        <v>74</v>
      </c>
      <c r="AC582" t="s">
        <v>74</v>
      </c>
      <c r="AD582" t="s">
        <v>74</v>
      </c>
      <c r="AE582" t="s">
        <v>74</v>
      </c>
      <c r="AF582" t="s">
        <v>74</v>
      </c>
      <c r="AG582">
        <v>37</v>
      </c>
      <c r="AH582">
        <v>54</v>
      </c>
      <c r="AI582">
        <v>64</v>
      </c>
      <c r="AJ582">
        <v>0</v>
      </c>
      <c r="AK582">
        <v>16</v>
      </c>
      <c r="AL582" t="s">
        <v>8551</v>
      </c>
      <c r="AM582" t="s">
        <v>8552</v>
      </c>
      <c r="AN582" t="s">
        <v>8553</v>
      </c>
      <c r="AO582" t="s">
        <v>8554</v>
      </c>
      <c r="AP582" t="s">
        <v>8555</v>
      </c>
      <c r="AQ582" t="s">
        <v>74</v>
      </c>
      <c r="AR582" t="s">
        <v>8556</v>
      </c>
      <c r="AS582" t="s">
        <v>8557</v>
      </c>
      <c r="AT582" t="s">
        <v>8496</v>
      </c>
      <c r="AU582">
        <v>2004</v>
      </c>
      <c r="AV582">
        <v>50</v>
      </c>
      <c r="AW582">
        <v>5</v>
      </c>
      <c r="AX582" t="s">
        <v>74</v>
      </c>
      <c r="AY582" t="s">
        <v>74</v>
      </c>
      <c r="AZ582" t="s">
        <v>74</v>
      </c>
      <c r="BA582" t="s">
        <v>74</v>
      </c>
      <c r="BB582">
        <v>553</v>
      </c>
      <c r="BC582">
        <v>561</v>
      </c>
      <c r="BD582" t="s">
        <v>74</v>
      </c>
      <c r="BE582" t="s">
        <v>74</v>
      </c>
      <c r="BF582" t="s">
        <v>74</v>
      </c>
      <c r="BG582" t="s">
        <v>74</v>
      </c>
      <c r="BH582" t="s">
        <v>74</v>
      </c>
      <c r="BI582">
        <v>9</v>
      </c>
      <c r="BJ582" t="s">
        <v>8558</v>
      </c>
      <c r="BK582" t="s">
        <v>139</v>
      </c>
      <c r="BL582" t="s">
        <v>8558</v>
      </c>
      <c r="BM582" t="s">
        <v>8559</v>
      </c>
      <c r="BN582">
        <v>15559972</v>
      </c>
      <c r="BO582" t="s">
        <v>74</v>
      </c>
      <c r="BP582" t="s">
        <v>74</v>
      </c>
      <c r="BQ582" t="s">
        <v>74</v>
      </c>
      <c r="BR582" t="s">
        <v>98</v>
      </c>
      <c r="BS582" t="s">
        <v>8613</v>
      </c>
      <c r="BT582" t="str">
        <f>HYPERLINK("https%3A%2F%2Fwww.webofscience.com%2Fwos%2Fwoscc%2Ffull-record%2FWOS:000225037100007","View Full Record in Web of Science")</f>
        <v>View Full Record in Web of Science</v>
      </c>
    </row>
    <row r="583" spans="1:72" x14ac:dyDescent="0.15">
      <c r="A583" t="s">
        <v>122</v>
      </c>
      <c r="B583" t="s">
        <v>8614</v>
      </c>
      <c r="C583" t="s">
        <v>74</v>
      </c>
      <c r="D583" t="s">
        <v>74</v>
      </c>
      <c r="E583" t="s">
        <v>74</v>
      </c>
      <c r="F583" t="s">
        <v>8614</v>
      </c>
      <c r="G583" t="s">
        <v>74</v>
      </c>
      <c r="H583" t="s">
        <v>74</v>
      </c>
      <c r="I583" t="s">
        <v>8615</v>
      </c>
      <c r="J583" t="s">
        <v>8542</v>
      </c>
      <c r="K583" t="s">
        <v>74</v>
      </c>
      <c r="L583" t="s">
        <v>74</v>
      </c>
      <c r="M583" t="s">
        <v>79</v>
      </c>
      <c r="N583" t="s">
        <v>126</v>
      </c>
      <c r="O583" t="s">
        <v>74</v>
      </c>
      <c r="P583" t="s">
        <v>74</v>
      </c>
      <c r="Q583" t="s">
        <v>74</v>
      </c>
      <c r="R583" t="s">
        <v>74</v>
      </c>
      <c r="S583" t="s">
        <v>74</v>
      </c>
      <c r="T583" t="s">
        <v>8616</v>
      </c>
      <c r="U583" t="s">
        <v>8617</v>
      </c>
      <c r="V583" t="s">
        <v>8618</v>
      </c>
      <c r="W583" t="s">
        <v>8619</v>
      </c>
      <c r="X583" t="s">
        <v>7730</v>
      </c>
      <c r="Y583" t="s">
        <v>8620</v>
      </c>
      <c r="Z583" t="s">
        <v>8621</v>
      </c>
      <c r="AA583" t="s">
        <v>8622</v>
      </c>
      <c r="AB583" t="s">
        <v>8623</v>
      </c>
      <c r="AC583" t="s">
        <v>74</v>
      </c>
      <c r="AD583" t="s">
        <v>74</v>
      </c>
      <c r="AE583" t="s">
        <v>74</v>
      </c>
      <c r="AF583" t="s">
        <v>74</v>
      </c>
      <c r="AG583">
        <v>56</v>
      </c>
      <c r="AH583">
        <v>41</v>
      </c>
      <c r="AI583">
        <v>50</v>
      </c>
      <c r="AJ583">
        <v>1</v>
      </c>
      <c r="AK583">
        <v>46</v>
      </c>
      <c r="AL583" t="s">
        <v>8551</v>
      </c>
      <c r="AM583" t="s">
        <v>8552</v>
      </c>
      <c r="AN583" t="s">
        <v>8553</v>
      </c>
      <c r="AO583" t="s">
        <v>8554</v>
      </c>
      <c r="AP583" t="s">
        <v>8555</v>
      </c>
      <c r="AQ583" t="s">
        <v>74</v>
      </c>
      <c r="AR583" t="s">
        <v>8556</v>
      </c>
      <c r="AS583" t="s">
        <v>8557</v>
      </c>
      <c r="AT583" t="s">
        <v>8496</v>
      </c>
      <c r="AU583">
        <v>2004</v>
      </c>
      <c r="AV583">
        <v>50</v>
      </c>
      <c r="AW583">
        <v>5</v>
      </c>
      <c r="AX583" t="s">
        <v>74</v>
      </c>
      <c r="AY583" t="s">
        <v>74</v>
      </c>
      <c r="AZ583" t="s">
        <v>74</v>
      </c>
      <c r="BA583" t="s">
        <v>74</v>
      </c>
      <c r="BB583">
        <v>575</v>
      </c>
      <c r="BC583">
        <v>584</v>
      </c>
      <c r="BD583" t="s">
        <v>74</v>
      </c>
      <c r="BE583" t="s">
        <v>74</v>
      </c>
      <c r="BF583" t="s">
        <v>74</v>
      </c>
      <c r="BG583" t="s">
        <v>74</v>
      </c>
      <c r="BH583" t="s">
        <v>74</v>
      </c>
      <c r="BI583">
        <v>10</v>
      </c>
      <c r="BJ583" t="s">
        <v>8558</v>
      </c>
      <c r="BK583" t="s">
        <v>139</v>
      </c>
      <c r="BL583" t="s">
        <v>8558</v>
      </c>
      <c r="BM583" t="s">
        <v>8559</v>
      </c>
      <c r="BN583">
        <v>15559974</v>
      </c>
      <c r="BO583" t="s">
        <v>74</v>
      </c>
      <c r="BP583" t="s">
        <v>74</v>
      </c>
      <c r="BQ583" t="s">
        <v>74</v>
      </c>
      <c r="BR583" t="s">
        <v>98</v>
      </c>
      <c r="BS583" t="s">
        <v>8624</v>
      </c>
      <c r="BT583" t="str">
        <f>HYPERLINK("https%3A%2F%2Fwww.webofscience.com%2Fwos%2Fwoscc%2Ffull-record%2FWOS:000225037100009","View Full Record in Web of Science")</f>
        <v>View Full Record in Web of Science</v>
      </c>
    </row>
    <row r="584" spans="1:72" x14ac:dyDescent="0.15">
      <c r="A584" t="s">
        <v>122</v>
      </c>
      <c r="B584" t="s">
        <v>8625</v>
      </c>
      <c r="C584" t="s">
        <v>74</v>
      </c>
      <c r="D584" t="s">
        <v>74</v>
      </c>
      <c r="E584" t="s">
        <v>74</v>
      </c>
      <c r="F584" t="s">
        <v>8625</v>
      </c>
      <c r="G584" t="s">
        <v>74</v>
      </c>
      <c r="H584" t="s">
        <v>74</v>
      </c>
      <c r="I584" t="s">
        <v>8626</v>
      </c>
      <c r="J584" t="s">
        <v>8542</v>
      </c>
      <c r="K584" t="s">
        <v>74</v>
      </c>
      <c r="L584" t="s">
        <v>74</v>
      </c>
      <c r="M584" t="s">
        <v>79</v>
      </c>
      <c r="N584" t="s">
        <v>126</v>
      </c>
      <c r="O584" t="s">
        <v>74</v>
      </c>
      <c r="P584" t="s">
        <v>74</v>
      </c>
      <c r="Q584" t="s">
        <v>74</v>
      </c>
      <c r="R584" t="s">
        <v>74</v>
      </c>
      <c r="S584" t="s">
        <v>74</v>
      </c>
      <c r="T584" t="s">
        <v>8627</v>
      </c>
      <c r="U584" t="s">
        <v>8628</v>
      </c>
      <c r="V584" t="s">
        <v>8629</v>
      </c>
      <c r="W584" t="s">
        <v>8630</v>
      </c>
      <c r="X584" t="s">
        <v>8631</v>
      </c>
      <c r="Y584" t="s">
        <v>8632</v>
      </c>
      <c r="Z584" t="s">
        <v>8633</v>
      </c>
      <c r="AA584" t="s">
        <v>74</v>
      </c>
      <c r="AB584" t="s">
        <v>74</v>
      </c>
      <c r="AC584" t="s">
        <v>74</v>
      </c>
      <c r="AD584" t="s">
        <v>74</v>
      </c>
      <c r="AE584" t="s">
        <v>74</v>
      </c>
      <c r="AF584" t="s">
        <v>74</v>
      </c>
      <c r="AG584">
        <v>25</v>
      </c>
      <c r="AH584">
        <v>2</v>
      </c>
      <c r="AI584">
        <v>3</v>
      </c>
      <c r="AJ584">
        <v>0</v>
      </c>
      <c r="AK584">
        <v>5</v>
      </c>
      <c r="AL584" t="s">
        <v>8551</v>
      </c>
      <c r="AM584" t="s">
        <v>8552</v>
      </c>
      <c r="AN584" t="s">
        <v>8553</v>
      </c>
      <c r="AO584" t="s">
        <v>8554</v>
      </c>
      <c r="AP584" t="s">
        <v>8555</v>
      </c>
      <c r="AQ584" t="s">
        <v>74</v>
      </c>
      <c r="AR584" t="s">
        <v>8556</v>
      </c>
      <c r="AS584" t="s">
        <v>8557</v>
      </c>
      <c r="AT584" t="s">
        <v>8496</v>
      </c>
      <c r="AU584">
        <v>2004</v>
      </c>
      <c r="AV584">
        <v>50</v>
      </c>
      <c r="AW584">
        <v>5</v>
      </c>
      <c r="AX584" t="s">
        <v>74</v>
      </c>
      <c r="AY584" t="s">
        <v>74</v>
      </c>
      <c r="AZ584" t="s">
        <v>74</v>
      </c>
      <c r="BA584" t="s">
        <v>74</v>
      </c>
      <c r="BB584">
        <v>585</v>
      </c>
      <c r="BC584">
        <v>590</v>
      </c>
      <c r="BD584" t="s">
        <v>74</v>
      </c>
      <c r="BE584" t="s">
        <v>74</v>
      </c>
      <c r="BF584" t="s">
        <v>74</v>
      </c>
      <c r="BG584" t="s">
        <v>74</v>
      </c>
      <c r="BH584" t="s">
        <v>74</v>
      </c>
      <c r="BI584">
        <v>6</v>
      </c>
      <c r="BJ584" t="s">
        <v>8558</v>
      </c>
      <c r="BK584" t="s">
        <v>139</v>
      </c>
      <c r="BL584" t="s">
        <v>8558</v>
      </c>
      <c r="BM584" t="s">
        <v>8559</v>
      </c>
      <c r="BN584">
        <v>15559975</v>
      </c>
      <c r="BO584" t="s">
        <v>74</v>
      </c>
      <c r="BP584" t="s">
        <v>74</v>
      </c>
      <c r="BQ584" t="s">
        <v>74</v>
      </c>
      <c r="BR584" t="s">
        <v>98</v>
      </c>
      <c r="BS584" t="s">
        <v>8634</v>
      </c>
      <c r="BT584" t="str">
        <f>HYPERLINK("https%3A%2F%2Fwww.webofscience.com%2Fwos%2Fwoscc%2Ffull-record%2FWOS:000225037100010","View Full Record in Web of Science")</f>
        <v>View Full Record in Web of Science</v>
      </c>
    </row>
    <row r="585" spans="1:72" x14ac:dyDescent="0.15">
      <c r="A585" t="s">
        <v>122</v>
      </c>
      <c r="B585" t="s">
        <v>8635</v>
      </c>
      <c r="C585" t="s">
        <v>74</v>
      </c>
      <c r="D585" t="s">
        <v>74</v>
      </c>
      <c r="E585" t="s">
        <v>74</v>
      </c>
      <c r="F585" t="s">
        <v>8635</v>
      </c>
      <c r="G585" t="s">
        <v>74</v>
      </c>
      <c r="H585" t="s">
        <v>74</v>
      </c>
      <c r="I585" t="s">
        <v>8636</v>
      </c>
      <c r="J585" t="s">
        <v>2974</v>
      </c>
      <c r="K585" t="s">
        <v>74</v>
      </c>
      <c r="L585" t="s">
        <v>74</v>
      </c>
      <c r="M585" t="s">
        <v>79</v>
      </c>
      <c r="N585" t="s">
        <v>126</v>
      </c>
      <c r="O585" t="s">
        <v>74</v>
      </c>
      <c r="P585" t="s">
        <v>74</v>
      </c>
      <c r="Q585" t="s">
        <v>74</v>
      </c>
      <c r="R585" t="s">
        <v>74</v>
      </c>
      <c r="S585" t="s">
        <v>74</v>
      </c>
      <c r="T585" t="s">
        <v>8637</v>
      </c>
      <c r="U585" t="s">
        <v>8638</v>
      </c>
      <c r="V585" t="s">
        <v>8639</v>
      </c>
      <c r="W585" t="s">
        <v>8640</v>
      </c>
      <c r="X585" t="s">
        <v>1137</v>
      </c>
      <c r="Y585" t="s">
        <v>8641</v>
      </c>
      <c r="Z585" t="s">
        <v>8642</v>
      </c>
      <c r="AA585" t="s">
        <v>8643</v>
      </c>
      <c r="AB585" t="s">
        <v>1141</v>
      </c>
      <c r="AC585" t="s">
        <v>74</v>
      </c>
      <c r="AD585" t="s">
        <v>74</v>
      </c>
      <c r="AE585" t="s">
        <v>74</v>
      </c>
      <c r="AF585" t="s">
        <v>74</v>
      </c>
      <c r="AG585">
        <v>24</v>
      </c>
      <c r="AH585">
        <v>43</v>
      </c>
      <c r="AI585">
        <v>45</v>
      </c>
      <c r="AJ585">
        <v>2</v>
      </c>
      <c r="AK585">
        <v>28</v>
      </c>
      <c r="AL585" t="s">
        <v>1273</v>
      </c>
      <c r="AM585" t="s">
        <v>197</v>
      </c>
      <c r="AN585" t="s">
        <v>1274</v>
      </c>
      <c r="AO585" t="s">
        <v>2984</v>
      </c>
      <c r="AP585" t="s">
        <v>2985</v>
      </c>
      <c r="AQ585" t="s">
        <v>74</v>
      </c>
      <c r="AR585" t="s">
        <v>2974</v>
      </c>
      <c r="AS585" t="s">
        <v>2986</v>
      </c>
      <c r="AT585" t="s">
        <v>8496</v>
      </c>
      <c r="AU585">
        <v>2004</v>
      </c>
      <c r="AV585">
        <v>56</v>
      </c>
      <c r="AW585">
        <v>1</v>
      </c>
      <c r="AX585" t="s">
        <v>74</v>
      </c>
      <c r="AY585" t="s">
        <v>74</v>
      </c>
      <c r="AZ585" t="s">
        <v>74</v>
      </c>
      <c r="BA585" t="s">
        <v>74</v>
      </c>
      <c r="BB585">
        <v>59</v>
      </c>
      <c r="BC585">
        <v>69</v>
      </c>
      <c r="BD585" t="s">
        <v>74</v>
      </c>
      <c r="BE585" t="s">
        <v>8644</v>
      </c>
      <c r="BF585" t="str">
        <f>HYPERLINK("http://dx.doi.org/10.1016/j.chemosphere.2003.12.026","http://dx.doi.org/10.1016/j.chemosphere.2003.12.026")</f>
        <v>http://dx.doi.org/10.1016/j.chemosphere.2003.12.026</v>
      </c>
      <c r="BG585" t="s">
        <v>74</v>
      </c>
      <c r="BH585" t="s">
        <v>74</v>
      </c>
      <c r="BI585">
        <v>11</v>
      </c>
      <c r="BJ585" t="s">
        <v>2988</v>
      </c>
      <c r="BK585" t="s">
        <v>139</v>
      </c>
      <c r="BL585" t="s">
        <v>1305</v>
      </c>
      <c r="BM585" t="s">
        <v>8645</v>
      </c>
      <c r="BN585">
        <v>15109880</v>
      </c>
      <c r="BO585" t="s">
        <v>74</v>
      </c>
      <c r="BP585" t="s">
        <v>74</v>
      </c>
      <c r="BQ585" t="s">
        <v>74</v>
      </c>
      <c r="BR585" t="s">
        <v>98</v>
      </c>
      <c r="BS585" t="s">
        <v>8646</v>
      </c>
      <c r="BT585" t="str">
        <f>HYPERLINK("https%3A%2F%2Fwww.webofscience.com%2Fwos%2Fwoscc%2Ffull-record%2FWOS:000221727700008","View Full Record in Web of Science")</f>
        <v>View Full Record in Web of Science</v>
      </c>
    </row>
    <row r="586" spans="1:72" x14ac:dyDescent="0.15">
      <c r="A586" t="s">
        <v>122</v>
      </c>
      <c r="B586" t="s">
        <v>8647</v>
      </c>
      <c r="C586" t="s">
        <v>74</v>
      </c>
      <c r="D586" t="s">
        <v>74</v>
      </c>
      <c r="E586" t="s">
        <v>74</v>
      </c>
      <c r="F586" t="s">
        <v>8647</v>
      </c>
      <c r="G586" t="s">
        <v>74</v>
      </c>
      <c r="H586" t="s">
        <v>74</v>
      </c>
      <c r="I586" t="s">
        <v>8648</v>
      </c>
      <c r="J586" t="s">
        <v>8649</v>
      </c>
      <c r="K586" t="s">
        <v>74</v>
      </c>
      <c r="L586" t="s">
        <v>74</v>
      </c>
      <c r="M586" t="s">
        <v>8650</v>
      </c>
      <c r="N586" t="s">
        <v>126</v>
      </c>
      <c r="O586" t="s">
        <v>74</v>
      </c>
      <c r="P586" t="s">
        <v>74</v>
      </c>
      <c r="Q586" t="s">
        <v>74</v>
      </c>
      <c r="R586" t="s">
        <v>74</v>
      </c>
      <c r="S586" t="s">
        <v>74</v>
      </c>
      <c r="T586" t="s">
        <v>8651</v>
      </c>
      <c r="U586" t="s">
        <v>8652</v>
      </c>
      <c r="V586" t="s">
        <v>8653</v>
      </c>
      <c r="W586" t="s">
        <v>8654</v>
      </c>
      <c r="X586" t="s">
        <v>8655</v>
      </c>
      <c r="Y586" t="s">
        <v>8656</v>
      </c>
      <c r="Z586" t="s">
        <v>8657</v>
      </c>
      <c r="AA586" t="s">
        <v>8658</v>
      </c>
      <c r="AB586" t="s">
        <v>74</v>
      </c>
      <c r="AC586" t="s">
        <v>74</v>
      </c>
      <c r="AD586" t="s">
        <v>74</v>
      </c>
      <c r="AE586" t="s">
        <v>74</v>
      </c>
      <c r="AF586" t="s">
        <v>74</v>
      </c>
      <c r="AG586">
        <v>25</v>
      </c>
      <c r="AH586">
        <v>31</v>
      </c>
      <c r="AI586">
        <v>93</v>
      </c>
      <c r="AJ586">
        <v>4</v>
      </c>
      <c r="AK586">
        <v>29</v>
      </c>
      <c r="AL586" t="s">
        <v>8659</v>
      </c>
      <c r="AM586" t="s">
        <v>4475</v>
      </c>
      <c r="AN586" t="s">
        <v>4476</v>
      </c>
      <c r="AO586" t="s">
        <v>8660</v>
      </c>
      <c r="AP586" t="s">
        <v>74</v>
      </c>
      <c r="AQ586" t="s">
        <v>74</v>
      </c>
      <c r="AR586" t="s">
        <v>8661</v>
      </c>
      <c r="AS586" t="s">
        <v>8662</v>
      </c>
      <c r="AT586" t="s">
        <v>8496</v>
      </c>
      <c r="AU586">
        <v>2004</v>
      </c>
      <c r="AV586">
        <v>47</v>
      </c>
      <c r="AW586">
        <v>4</v>
      </c>
      <c r="AX586" t="s">
        <v>74</v>
      </c>
      <c r="AY586" t="s">
        <v>74</v>
      </c>
      <c r="AZ586" t="s">
        <v>74</v>
      </c>
      <c r="BA586" t="s">
        <v>74</v>
      </c>
      <c r="BB586">
        <v>590</v>
      </c>
      <c r="BC586">
        <v>596</v>
      </c>
      <c r="BD586" t="s">
        <v>74</v>
      </c>
      <c r="BE586" t="s">
        <v>74</v>
      </c>
      <c r="BF586" t="s">
        <v>74</v>
      </c>
      <c r="BG586" t="s">
        <v>74</v>
      </c>
      <c r="BH586" t="s">
        <v>74</v>
      </c>
      <c r="BI586">
        <v>7</v>
      </c>
      <c r="BJ586" t="s">
        <v>271</v>
      </c>
      <c r="BK586" t="s">
        <v>139</v>
      </c>
      <c r="BL586" t="s">
        <v>271</v>
      </c>
      <c r="BM586" t="s">
        <v>8663</v>
      </c>
      <c r="BN586" t="s">
        <v>74</v>
      </c>
      <c r="BO586" t="s">
        <v>74</v>
      </c>
      <c r="BP586" t="s">
        <v>74</v>
      </c>
      <c r="BQ586" t="s">
        <v>74</v>
      </c>
      <c r="BR586" t="s">
        <v>98</v>
      </c>
      <c r="BS586" t="s">
        <v>8664</v>
      </c>
      <c r="BT586" t="str">
        <f>HYPERLINK("https%3A%2F%2Fwww.webofscience.com%2Fwos%2Fwoscc%2Ffull-record%2FWOS:000222988300007","View Full Record in Web of Science")</f>
        <v>View Full Record in Web of Science</v>
      </c>
    </row>
    <row r="587" spans="1:72" x14ac:dyDescent="0.15">
      <c r="A587" t="s">
        <v>122</v>
      </c>
      <c r="B587" t="s">
        <v>8665</v>
      </c>
      <c r="C587" t="s">
        <v>74</v>
      </c>
      <c r="D587" t="s">
        <v>74</v>
      </c>
      <c r="E587" t="s">
        <v>74</v>
      </c>
      <c r="F587" t="s">
        <v>8665</v>
      </c>
      <c r="G587" t="s">
        <v>74</v>
      </c>
      <c r="H587" t="s">
        <v>74</v>
      </c>
      <c r="I587" t="s">
        <v>8666</v>
      </c>
      <c r="J587" t="s">
        <v>5771</v>
      </c>
      <c r="K587" t="s">
        <v>74</v>
      </c>
      <c r="L587" t="s">
        <v>74</v>
      </c>
      <c r="M587" t="s">
        <v>79</v>
      </c>
      <c r="N587" t="s">
        <v>126</v>
      </c>
      <c r="O587" t="s">
        <v>74</v>
      </c>
      <c r="P587" t="s">
        <v>74</v>
      </c>
      <c r="Q587" t="s">
        <v>74</v>
      </c>
      <c r="R587" t="s">
        <v>74</v>
      </c>
      <c r="S587" t="s">
        <v>74</v>
      </c>
      <c r="T587" t="s">
        <v>74</v>
      </c>
      <c r="U587" t="s">
        <v>8667</v>
      </c>
      <c r="V587" t="s">
        <v>8668</v>
      </c>
      <c r="W587" t="s">
        <v>8669</v>
      </c>
      <c r="X587" t="s">
        <v>8670</v>
      </c>
      <c r="Y587" t="s">
        <v>8671</v>
      </c>
      <c r="Z587" t="s">
        <v>8672</v>
      </c>
      <c r="AA587" t="s">
        <v>8673</v>
      </c>
      <c r="AB587" t="s">
        <v>8674</v>
      </c>
      <c r="AC587" t="s">
        <v>74</v>
      </c>
      <c r="AD587" t="s">
        <v>74</v>
      </c>
      <c r="AE587" t="s">
        <v>74</v>
      </c>
      <c r="AF587" t="s">
        <v>74</v>
      </c>
      <c r="AG587">
        <v>43</v>
      </c>
      <c r="AH587">
        <v>68</v>
      </c>
      <c r="AI587">
        <v>74</v>
      </c>
      <c r="AJ587">
        <v>0</v>
      </c>
      <c r="AK587">
        <v>9</v>
      </c>
      <c r="AL587" t="s">
        <v>1509</v>
      </c>
      <c r="AM587" t="s">
        <v>613</v>
      </c>
      <c r="AN587" t="s">
        <v>1776</v>
      </c>
      <c r="AO587" t="s">
        <v>5779</v>
      </c>
      <c r="AP587" t="s">
        <v>74</v>
      </c>
      <c r="AQ587" t="s">
        <v>74</v>
      </c>
      <c r="AR587" t="s">
        <v>5781</v>
      </c>
      <c r="AS587" t="s">
        <v>5782</v>
      </c>
      <c r="AT587" t="s">
        <v>8496</v>
      </c>
      <c r="AU587">
        <v>2004</v>
      </c>
      <c r="AV587">
        <v>22</v>
      </c>
      <c r="AW587">
        <v>8</v>
      </c>
      <c r="AX587" t="s">
        <v>74</v>
      </c>
      <c r="AY587" t="s">
        <v>74</v>
      </c>
      <c r="AZ587" t="s">
        <v>74</v>
      </c>
      <c r="BA587" t="s">
        <v>74</v>
      </c>
      <c r="BB587">
        <v>783</v>
      </c>
      <c r="BC587">
        <v>794</v>
      </c>
      <c r="BD587" t="s">
        <v>74</v>
      </c>
      <c r="BE587" t="s">
        <v>8675</v>
      </c>
      <c r="BF587" t="str">
        <f>HYPERLINK("http://dx.doi.org/10.1007/s00382-004-0403-3","http://dx.doi.org/10.1007/s00382-004-0403-3")</f>
        <v>http://dx.doi.org/10.1007/s00382-004-0403-3</v>
      </c>
      <c r="BG587" t="s">
        <v>74</v>
      </c>
      <c r="BH587" t="s">
        <v>74</v>
      </c>
      <c r="BI587">
        <v>12</v>
      </c>
      <c r="BJ587" t="s">
        <v>291</v>
      </c>
      <c r="BK587" t="s">
        <v>139</v>
      </c>
      <c r="BL587" t="s">
        <v>291</v>
      </c>
      <c r="BM587" t="s">
        <v>8676</v>
      </c>
      <c r="BN587" t="s">
        <v>74</v>
      </c>
      <c r="BO587" t="s">
        <v>74</v>
      </c>
      <c r="BP587" t="s">
        <v>74</v>
      </c>
      <c r="BQ587" t="s">
        <v>74</v>
      </c>
      <c r="BR587" t="s">
        <v>98</v>
      </c>
      <c r="BS587" t="s">
        <v>8677</v>
      </c>
      <c r="BT587" t="str">
        <f>HYPERLINK("https%3A%2F%2Fwww.webofscience.com%2Fwos%2Fwoscc%2Ffull-record%2FWOS:000222574800001","View Full Record in Web of Science")</f>
        <v>View Full Record in Web of Science</v>
      </c>
    </row>
    <row r="588" spans="1:72" x14ac:dyDescent="0.15">
      <c r="A588" t="s">
        <v>122</v>
      </c>
      <c r="B588" t="s">
        <v>8678</v>
      </c>
      <c r="C588" t="s">
        <v>74</v>
      </c>
      <c r="D588" t="s">
        <v>74</v>
      </c>
      <c r="E588" t="s">
        <v>74</v>
      </c>
      <c r="F588" t="s">
        <v>8678</v>
      </c>
      <c r="G588" t="s">
        <v>74</v>
      </c>
      <c r="H588" t="s">
        <v>74</v>
      </c>
      <c r="I588" t="s">
        <v>8679</v>
      </c>
      <c r="J588" t="s">
        <v>5835</v>
      </c>
      <c r="K588" t="s">
        <v>74</v>
      </c>
      <c r="L588" t="s">
        <v>74</v>
      </c>
      <c r="M588" t="s">
        <v>79</v>
      </c>
      <c r="N588" t="s">
        <v>126</v>
      </c>
      <c r="O588" t="s">
        <v>74</v>
      </c>
      <c r="P588" t="s">
        <v>74</v>
      </c>
      <c r="Q588" t="s">
        <v>74</v>
      </c>
      <c r="R588" t="s">
        <v>74</v>
      </c>
      <c r="S588" t="s">
        <v>74</v>
      </c>
      <c r="T588" t="s">
        <v>8680</v>
      </c>
      <c r="U588" t="s">
        <v>8681</v>
      </c>
      <c r="V588" t="s">
        <v>8682</v>
      </c>
      <c r="W588" t="s">
        <v>8683</v>
      </c>
      <c r="X588" t="s">
        <v>5840</v>
      </c>
      <c r="Y588" t="s">
        <v>8684</v>
      </c>
      <c r="Z588" t="s">
        <v>8685</v>
      </c>
      <c r="AA588" t="s">
        <v>8686</v>
      </c>
      <c r="AB588" t="s">
        <v>8687</v>
      </c>
      <c r="AC588" t="s">
        <v>74</v>
      </c>
      <c r="AD588" t="s">
        <v>74</v>
      </c>
      <c r="AE588" t="s">
        <v>74</v>
      </c>
      <c r="AF588" t="s">
        <v>74</v>
      </c>
      <c r="AG588">
        <v>39</v>
      </c>
      <c r="AH588">
        <v>6</v>
      </c>
      <c r="AI588">
        <v>6</v>
      </c>
      <c r="AJ588">
        <v>0</v>
      </c>
      <c r="AK588">
        <v>9</v>
      </c>
      <c r="AL588" t="s">
        <v>612</v>
      </c>
      <c r="AM588" t="s">
        <v>613</v>
      </c>
      <c r="AN588" t="s">
        <v>614</v>
      </c>
      <c r="AO588" t="s">
        <v>5844</v>
      </c>
      <c r="AP588" t="s">
        <v>5845</v>
      </c>
      <c r="AQ588" t="s">
        <v>74</v>
      </c>
      <c r="AR588" t="s">
        <v>5846</v>
      </c>
      <c r="AS588" t="s">
        <v>5847</v>
      </c>
      <c r="AT588" t="s">
        <v>8496</v>
      </c>
      <c r="AU588">
        <v>2004</v>
      </c>
      <c r="AV588">
        <v>138</v>
      </c>
      <c r="AW588">
        <v>3</v>
      </c>
      <c r="AX588" t="s">
        <v>74</v>
      </c>
      <c r="AY588" t="s">
        <v>74</v>
      </c>
      <c r="AZ588" t="s">
        <v>74</v>
      </c>
      <c r="BA588" t="s">
        <v>74</v>
      </c>
      <c r="BB588">
        <v>391</v>
      </c>
      <c r="BC588">
        <v>398</v>
      </c>
      <c r="BD588" t="s">
        <v>74</v>
      </c>
      <c r="BE588" t="s">
        <v>8688</v>
      </c>
      <c r="BF588" t="str">
        <f>HYPERLINK("http://dx.doi.org/10.1016/j.cbpb.2004.05.005","http://dx.doi.org/10.1016/j.cbpb.2004.05.005")</f>
        <v>http://dx.doi.org/10.1016/j.cbpb.2004.05.005</v>
      </c>
      <c r="BG588" t="s">
        <v>74</v>
      </c>
      <c r="BH588" t="s">
        <v>74</v>
      </c>
      <c r="BI588">
        <v>8</v>
      </c>
      <c r="BJ588" t="s">
        <v>5849</v>
      </c>
      <c r="BK588" t="s">
        <v>139</v>
      </c>
      <c r="BL588" t="s">
        <v>5849</v>
      </c>
      <c r="BM588" t="s">
        <v>8689</v>
      </c>
      <c r="BN588">
        <v>15313495</v>
      </c>
      <c r="BO588" t="s">
        <v>74</v>
      </c>
      <c r="BP588" t="s">
        <v>74</v>
      </c>
      <c r="BQ588" t="s">
        <v>74</v>
      </c>
      <c r="BR588" t="s">
        <v>98</v>
      </c>
      <c r="BS588" t="s">
        <v>8690</v>
      </c>
      <c r="BT588" t="str">
        <f>HYPERLINK("https%3A%2F%2Fwww.webofscience.com%2Fwos%2Fwoscc%2Ffull-record%2FWOS:000223703500018","View Full Record in Web of Science")</f>
        <v>View Full Record in Web of Science</v>
      </c>
    </row>
    <row r="589" spans="1:72" x14ac:dyDescent="0.15">
      <c r="A589" t="s">
        <v>122</v>
      </c>
      <c r="B589" t="s">
        <v>8691</v>
      </c>
      <c r="C589" t="s">
        <v>74</v>
      </c>
      <c r="D589" t="s">
        <v>74</v>
      </c>
      <c r="E589" t="s">
        <v>74</v>
      </c>
      <c r="F589" t="s">
        <v>8691</v>
      </c>
      <c r="G589" t="s">
        <v>74</v>
      </c>
      <c r="H589" t="s">
        <v>74</v>
      </c>
      <c r="I589" t="s">
        <v>8692</v>
      </c>
      <c r="J589" t="s">
        <v>8693</v>
      </c>
      <c r="K589" t="s">
        <v>74</v>
      </c>
      <c r="L589" t="s">
        <v>74</v>
      </c>
      <c r="M589" t="s">
        <v>8694</v>
      </c>
      <c r="N589" t="s">
        <v>126</v>
      </c>
      <c r="O589" t="s">
        <v>74</v>
      </c>
      <c r="P589" t="s">
        <v>74</v>
      </c>
      <c r="Q589" t="s">
        <v>74</v>
      </c>
      <c r="R589" t="s">
        <v>74</v>
      </c>
      <c r="S589" t="s">
        <v>74</v>
      </c>
      <c r="T589" t="s">
        <v>8695</v>
      </c>
      <c r="U589" t="s">
        <v>8696</v>
      </c>
      <c r="V589" t="s">
        <v>8697</v>
      </c>
      <c r="W589" t="s">
        <v>8698</v>
      </c>
      <c r="X589" t="s">
        <v>8699</v>
      </c>
      <c r="Y589" t="s">
        <v>8700</v>
      </c>
      <c r="Z589" t="s">
        <v>8701</v>
      </c>
      <c r="AA589" t="s">
        <v>8702</v>
      </c>
      <c r="AB589" t="s">
        <v>8703</v>
      </c>
      <c r="AC589" t="s">
        <v>74</v>
      </c>
      <c r="AD589" t="s">
        <v>74</v>
      </c>
      <c r="AE589" t="s">
        <v>74</v>
      </c>
      <c r="AF589" t="s">
        <v>74</v>
      </c>
      <c r="AG589">
        <v>82</v>
      </c>
      <c r="AH589">
        <v>12</v>
      </c>
      <c r="AI589">
        <v>14</v>
      </c>
      <c r="AJ589">
        <v>1</v>
      </c>
      <c r="AK589">
        <v>31</v>
      </c>
      <c r="AL589" t="s">
        <v>8704</v>
      </c>
      <c r="AM589" t="s">
        <v>8705</v>
      </c>
      <c r="AN589" t="s">
        <v>8706</v>
      </c>
      <c r="AO589" t="s">
        <v>8707</v>
      </c>
      <c r="AP589" t="s">
        <v>8708</v>
      </c>
      <c r="AQ589" t="s">
        <v>74</v>
      </c>
      <c r="AR589" t="s">
        <v>8709</v>
      </c>
      <c r="AS589" t="s">
        <v>8710</v>
      </c>
      <c r="AT589" t="s">
        <v>8496</v>
      </c>
      <c r="AU589">
        <v>2004</v>
      </c>
      <c r="AV589">
        <v>336</v>
      </c>
      <c r="AW589">
        <v>10</v>
      </c>
      <c r="AX589" t="s">
        <v>74</v>
      </c>
      <c r="AY589" t="s">
        <v>74</v>
      </c>
      <c r="AZ589" t="s">
        <v>74</v>
      </c>
      <c r="BA589" t="s">
        <v>74</v>
      </c>
      <c r="BB589">
        <v>847</v>
      </c>
      <c r="BC589">
        <v>867</v>
      </c>
      <c r="BD589" t="s">
        <v>74</v>
      </c>
      <c r="BE589" t="s">
        <v>8711</v>
      </c>
      <c r="BF589" t="str">
        <f>HYPERLINK("http://dx.doi.org/10.1016/j.crte.2004.01.008","http://dx.doi.org/10.1016/j.crte.2004.01.008")</f>
        <v>http://dx.doi.org/10.1016/j.crte.2004.01.008</v>
      </c>
      <c r="BG589" t="s">
        <v>74</v>
      </c>
      <c r="BH589" t="s">
        <v>74</v>
      </c>
      <c r="BI589">
        <v>21</v>
      </c>
      <c r="BJ589" t="s">
        <v>248</v>
      </c>
      <c r="BK589" t="s">
        <v>139</v>
      </c>
      <c r="BL589" t="s">
        <v>249</v>
      </c>
      <c r="BM589" t="s">
        <v>8712</v>
      </c>
      <c r="BN589" t="s">
        <v>74</v>
      </c>
      <c r="BO589" t="s">
        <v>988</v>
      </c>
      <c r="BP589" t="s">
        <v>74</v>
      </c>
      <c r="BQ589" t="s">
        <v>74</v>
      </c>
      <c r="BR589" t="s">
        <v>98</v>
      </c>
      <c r="BS589" t="s">
        <v>8713</v>
      </c>
      <c r="BT589" t="str">
        <f>HYPERLINK("https%3A%2F%2Fwww.webofscience.com%2Fwos%2Fwoscc%2Ffull-record%2FWOS:000222742200001","View Full Record in Web of Science")</f>
        <v>View Full Record in Web of Science</v>
      </c>
    </row>
    <row r="590" spans="1:72" x14ac:dyDescent="0.15">
      <c r="A590" t="s">
        <v>122</v>
      </c>
      <c r="B590" t="s">
        <v>8714</v>
      </c>
      <c r="C590" t="s">
        <v>74</v>
      </c>
      <c r="D590" t="s">
        <v>74</v>
      </c>
      <c r="E590" t="s">
        <v>74</v>
      </c>
      <c r="F590" t="s">
        <v>8714</v>
      </c>
      <c r="G590" t="s">
        <v>74</v>
      </c>
      <c r="H590" t="s">
        <v>74</v>
      </c>
      <c r="I590" t="s">
        <v>8715</v>
      </c>
      <c r="J590" t="s">
        <v>8716</v>
      </c>
      <c r="K590" t="s">
        <v>74</v>
      </c>
      <c r="L590" t="s">
        <v>74</v>
      </c>
      <c r="M590" t="s">
        <v>79</v>
      </c>
      <c r="N590" t="s">
        <v>126</v>
      </c>
      <c r="O590" t="s">
        <v>74</v>
      </c>
      <c r="P590" t="s">
        <v>74</v>
      </c>
      <c r="Q590" t="s">
        <v>74</v>
      </c>
      <c r="R590" t="s">
        <v>74</v>
      </c>
      <c r="S590" t="s">
        <v>74</v>
      </c>
      <c r="T590" t="s">
        <v>8717</v>
      </c>
      <c r="U590" t="s">
        <v>8718</v>
      </c>
      <c r="V590" t="s">
        <v>8719</v>
      </c>
      <c r="W590" t="s">
        <v>8720</v>
      </c>
      <c r="X590" t="s">
        <v>8721</v>
      </c>
      <c r="Y590" t="s">
        <v>8722</v>
      </c>
      <c r="Z590" t="s">
        <v>8723</v>
      </c>
      <c r="AA590" t="s">
        <v>74</v>
      </c>
      <c r="AB590" t="s">
        <v>74</v>
      </c>
      <c r="AC590" t="s">
        <v>74</v>
      </c>
      <c r="AD590" t="s">
        <v>74</v>
      </c>
      <c r="AE590" t="s">
        <v>74</v>
      </c>
      <c r="AF590" t="s">
        <v>74</v>
      </c>
      <c r="AG590">
        <v>41</v>
      </c>
      <c r="AH590">
        <v>1</v>
      </c>
      <c r="AI590">
        <v>1</v>
      </c>
      <c r="AJ590">
        <v>0</v>
      </c>
      <c r="AK590">
        <v>0</v>
      </c>
      <c r="AL590" t="s">
        <v>4508</v>
      </c>
      <c r="AM590" t="s">
        <v>4509</v>
      </c>
      <c r="AN590" t="s">
        <v>4510</v>
      </c>
      <c r="AO590" t="s">
        <v>8724</v>
      </c>
      <c r="AP590" t="s">
        <v>74</v>
      </c>
      <c r="AQ590" t="s">
        <v>74</v>
      </c>
      <c r="AR590" t="s">
        <v>8725</v>
      </c>
      <c r="AS590" t="s">
        <v>8726</v>
      </c>
      <c r="AT590" t="s">
        <v>8727</v>
      </c>
      <c r="AU590">
        <v>2004</v>
      </c>
      <c r="AV590">
        <v>25</v>
      </c>
      <c r="AW590">
        <v>3</v>
      </c>
      <c r="AX590" t="s">
        <v>74</v>
      </c>
      <c r="AY590" t="s">
        <v>74</v>
      </c>
      <c r="AZ590" t="s">
        <v>74</v>
      </c>
      <c r="BA590" t="s">
        <v>74</v>
      </c>
      <c r="BB590">
        <v>261</v>
      </c>
      <c r="BC590">
        <v>274</v>
      </c>
      <c r="BD590" t="s">
        <v>74</v>
      </c>
      <c r="BE590" t="s">
        <v>74</v>
      </c>
      <c r="BF590" t="s">
        <v>74</v>
      </c>
      <c r="BG590" t="s">
        <v>74</v>
      </c>
      <c r="BH590" t="s">
        <v>74</v>
      </c>
      <c r="BI590">
        <v>14</v>
      </c>
      <c r="BJ590" t="s">
        <v>1672</v>
      </c>
      <c r="BK590" t="s">
        <v>139</v>
      </c>
      <c r="BL590" t="s">
        <v>1672</v>
      </c>
      <c r="BM590" t="s">
        <v>8728</v>
      </c>
      <c r="BN590" t="s">
        <v>74</v>
      </c>
      <c r="BO590" t="s">
        <v>74</v>
      </c>
      <c r="BP590" t="s">
        <v>74</v>
      </c>
      <c r="BQ590" t="s">
        <v>74</v>
      </c>
      <c r="BR590" t="s">
        <v>98</v>
      </c>
      <c r="BS590" t="s">
        <v>8729</v>
      </c>
      <c r="BT590" t="str">
        <f>HYPERLINK("https%3A%2F%2Fwww.webofscience.com%2Fwos%2Fwoscc%2Ffull-record%2FWOS:000225896100003","View Full Record in Web of Science")</f>
        <v>View Full Record in Web of Science</v>
      </c>
    </row>
    <row r="591" spans="1:72" x14ac:dyDescent="0.15">
      <c r="A591" t="s">
        <v>122</v>
      </c>
      <c r="B591" t="s">
        <v>8730</v>
      </c>
      <c r="C591" t="s">
        <v>74</v>
      </c>
      <c r="D591" t="s">
        <v>74</v>
      </c>
      <c r="E591" t="s">
        <v>74</v>
      </c>
      <c r="F591" t="s">
        <v>8730</v>
      </c>
      <c r="G591" t="s">
        <v>74</v>
      </c>
      <c r="H591" t="s">
        <v>74</v>
      </c>
      <c r="I591" t="s">
        <v>8731</v>
      </c>
      <c r="J591" t="s">
        <v>1263</v>
      </c>
      <c r="K591" t="s">
        <v>74</v>
      </c>
      <c r="L591" t="s">
        <v>74</v>
      </c>
      <c r="M591" t="s">
        <v>79</v>
      </c>
      <c r="N591" t="s">
        <v>126</v>
      </c>
      <c r="O591" t="s">
        <v>74</v>
      </c>
      <c r="P591" t="s">
        <v>74</v>
      </c>
      <c r="Q591" t="s">
        <v>74</v>
      </c>
      <c r="R591" t="s">
        <v>74</v>
      </c>
      <c r="S591" t="s">
        <v>74</v>
      </c>
      <c r="T591" t="s">
        <v>8732</v>
      </c>
      <c r="U591" t="s">
        <v>8733</v>
      </c>
      <c r="V591" t="s">
        <v>8734</v>
      </c>
      <c r="W591" t="s">
        <v>8735</v>
      </c>
      <c r="X591" t="s">
        <v>8736</v>
      </c>
      <c r="Y591" t="s">
        <v>502</v>
      </c>
      <c r="Z591" t="s">
        <v>8737</v>
      </c>
      <c r="AA591" t="s">
        <v>8738</v>
      </c>
      <c r="AB591" t="s">
        <v>8739</v>
      </c>
      <c r="AC591" t="s">
        <v>74</v>
      </c>
      <c r="AD591" t="s">
        <v>74</v>
      </c>
      <c r="AE591" t="s">
        <v>74</v>
      </c>
      <c r="AF591" t="s">
        <v>74</v>
      </c>
      <c r="AG591">
        <v>56</v>
      </c>
      <c r="AH591">
        <v>62</v>
      </c>
      <c r="AI591">
        <v>69</v>
      </c>
      <c r="AJ591">
        <v>0</v>
      </c>
      <c r="AK591">
        <v>12</v>
      </c>
      <c r="AL591" t="s">
        <v>1273</v>
      </c>
      <c r="AM591" t="s">
        <v>197</v>
      </c>
      <c r="AN591" t="s">
        <v>1274</v>
      </c>
      <c r="AO591" t="s">
        <v>1275</v>
      </c>
      <c r="AP591" t="s">
        <v>1276</v>
      </c>
      <c r="AQ591" t="s">
        <v>74</v>
      </c>
      <c r="AR591" t="s">
        <v>1277</v>
      </c>
      <c r="AS591" t="s">
        <v>1278</v>
      </c>
      <c r="AT591" t="s">
        <v>8496</v>
      </c>
      <c r="AU591">
        <v>2004</v>
      </c>
      <c r="AV591">
        <v>51</v>
      </c>
      <c r="AW591">
        <v>7</v>
      </c>
      <c r="AX591" t="s">
        <v>74</v>
      </c>
      <c r="AY591" t="s">
        <v>74</v>
      </c>
      <c r="AZ591" t="s">
        <v>74</v>
      </c>
      <c r="BA591" t="s">
        <v>74</v>
      </c>
      <c r="BB591">
        <v>909</v>
      </c>
      <c r="BC591">
        <v>920</v>
      </c>
      <c r="BD591" t="s">
        <v>74</v>
      </c>
      <c r="BE591" t="s">
        <v>8740</v>
      </c>
      <c r="BF591" t="str">
        <f>HYPERLINK("http://dx.doi.org/10.1016/j.dsr.2004.02.008","http://dx.doi.org/10.1016/j.dsr.2004.02.008")</f>
        <v>http://dx.doi.org/10.1016/j.dsr.2004.02.008</v>
      </c>
      <c r="BG591" t="s">
        <v>74</v>
      </c>
      <c r="BH591" t="s">
        <v>74</v>
      </c>
      <c r="BI591">
        <v>12</v>
      </c>
      <c r="BJ591" t="s">
        <v>660</v>
      </c>
      <c r="BK591" t="s">
        <v>139</v>
      </c>
      <c r="BL591" t="s">
        <v>660</v>
      </c>
      <c r="BM591" t="s">
        <v>8741</v>
      </c>
      <c r="BN591" t="s">
        <v>74</v>
      </c>
      <c r="BO591" t="s">
        <v>251</v>
      </c>
      <c r="BP591" t="s">
        <v>74</v>
      </c>
      <c r="BQ591" t="s">
        <v>74</v>
      </c>
      <c r="BR591" t="s">
        <v>98</v>
      </c>
      <c r="BS591" t="s">
        <v>8742</v>
      </c>
      <c r="BT591" t="str">
        <f>HYPERLINK("https%3A%2F%2Fwww.webofscience.com%2Fwos%2Fwoscc%2Ffull-record%2FWOS:000222486300003","View Full Record in Web of Science")</f>
        <v>View Full Record in Web of Science</v>
      </c>
    </row>
    <row r="592" spans="1:72" x14ac:dyDescent="0.15">
      <c r="A592" t="s">
        <v>122</v>
      </c>
      <c r="B592" t="s">
        <v>8743</v>
      </c>
      <c r="C592" t="s">
        <v>74</v>
      </c>
      <c r="D592" t="s">
        <v>74</v>
      </c>
      <c r="E592" t="s">
        <v>74</v>
      </c>
      <c r="F592" t="s">
        <v>8743</v>
      </c>
      <c r="G592" t="s">
        <v>74</v>
      </c>
      <c r="H592" t="s">
        <v>74</v>
      </c>
      <c r="I592" t="s">
        <v>8744</v>
      </c>
      <c r="J592" t="s">
        <v>8745</v>
      </c>
      <c r="K592" t="s">
        <v>74</v>
      </c>
      <c r="L592" t="s">
        <v>74</v>
      </c>
      <c r="M592" t="s">
        <v>79</v>
      </c>
      <c r="N592" t="s">
        <v>126</v>
      </c>
      <c r="O592" t="s">
        <v>74</v>
      </c>
      <c r="P592" t="s">
        <v>74</v>
      </c>
      <c r="Q592" t="s">
        <v>74</v>
      </c>
      <c r="R592" t="s">
        <v>74</v>
      </c>
      <c r="S592" t="s">
        <v>74</v>
      </c>
      <c r="T592" t="s">
        <v>74</v>
      </c>
      <c r="U592" t="s">
        <v>8746</v>
      </c>
      <c r="V592" t="s">
        <v>74</v>
      </c>
      <c r="W592" t="s">
        <v>8747</v>
      </c>
      <c r="X592" t="s">
        <v>8748</v>
      </c>
      <c r="Y592" t="s">
        <v>8749</v>
      </c>
      <c r="Z592" t="s">
        <v>8750</v>
      </c>
      <c r="AA592" t="s">
        <v>8751</v>
      </c>
      <c r="AB592" t="s">
        <v>8752</v>
      </c>
      <c r="AC592" t="s">
        <v>74</v>
      </c>
      <c r="AD592" t="s">
        <v>74</v>
      </c>
      <c r="AE592" t="s">
        <v>74</v>
      </c>
      <c r="AF592" t="s">
        <v>74</v>
      </c>
      <c r="AG592">
        <v>14</v>
      </c>
      <c r="AH592">
        <v>2</v>
      </c>
      <c r="AI592">
        <v>2</v>
      </c>
      <c r="AJ592">
        <v>0</v>
      </c>
      <c r="AK592">
        <v>1</v>
      </c>
      <c r="AL592" t="s">
        <v>1229</v>
      </c>
      <c r="AM592" t="s">
        <v>613</v>
      </c>
      <c r="AN592" t="s">
        <v>1230</v>
      </c>
      <c r="AO592" t="s">
        <v>8753</v>
      </c>
      <c r="AP592" t="s">
        <v>8754</v>
      </c>
      <c r="AQ592" t="s">
        <v>74</v>
      </c>
      <c r="AR592" t="s">
        <v>8755</v>
      </c>
      <c r="AS592" t="s">
        <v>8756</v>
      </c>
      <c r="AT592" t="s">
        <v>8757</v>
      </c>
      <c r="AU592">
        <v>2004</v>
      </c>
      <c r="AV592" t="s">
        <v>8758</v>
      </c>
      <c r="AW592">
        <v>6</v>
      </c>
      <c r="AX592" t="s">
        <v>74</v>
      </c>
      <c r="AY592" t="s">
        <v>74</v>
      </c>
      <c r="AZ592" t="s">
        <v>74</v>
      </c>
      <c r="BA592" t="s">
        <v>74</v>
      </c>
      <c r="BB592">
        <v>846</v>
      </c>
      <c r="BC592">
        <v>850</v>
      </c>
      <c r="BD592" t="s">
        <v>74</v>
      </c>
      <c r="BE592" t="s">
        <v>74</v>
      </c>
      <c r="BF592" t="s">
        <v>74</v>
      </c>
      <c r="BG592" t="s">
        <v>74</v>
      </c>
      <c r="BH592" t="s">
        <v>74</v>
      </c>
      <c r="BI592">
        <v>5</v>
      </c>
      <c r="BJ592" t="s">
        <v>248</v>
      </c>
      <c r="BK592" t="s">
        <v>139</v>
      </c>
      <c r="BL592" t="s">
        <v>249</v>
      </c>
      <c r="BM592" t="s">
        <v>8759</v>
      </c>
      <c r="BN592" t="s">
        <v>74</v>
      </c>
      <c r="BO592" t="s">
        <v>74</v>
      </c>
      <c r="BP592" t="s">
        <v>74</v>
      </c>
      <c r="BQ592" t="s">
        <v>74</v>
      </c>
      <c r="BR592" t="s">
        <v>98</v>
      </c>
      <c r="BS592" t="s">
        <v>8760</v>
      </c>
      <c r="BT592" t="str">
        <f>HYPERLINK("https%3A%2F%2Fwww.webofscience.com%2Fwos%2Fwoscc%2Ffull-record%2FWOS:000223771900025","View Full Record in Web of Science")</f>
        <v>View Full Record in Web of Science</v>
      </c>
    </row>
    <row r="593" spans="1:72" x14ac:dyDescent="0.15">
      <c r="A593" t="s">
        <v>122</v>
      </c>
      <c r="B593" t="s">
        <v>8761</v>
      </c>
      <c r="C593" t="s">
        <v>74</v>
      </c>
      <c r="D593" t="s">
        <v>74</v>
      </c>
      <c r="E593" t="s">
        <v>74</v>
      </c>
      <c r="F593" t="s">
        <v>8761</v>
      </c>
      <c r="G593" t="s">
        <v>74</v>
      </c>
      <c r="H593" t="s">
        <v>74</v>
      </c>
      <c r="I593" t="s">
        <v>8762</v>
      </c>
      <c r="J593" t="s">
        <v>8763</v>
      </c>
      <c r="K593" t="s">
        <v>74</v>
      </c>
      <c r="L593" t="s">
        <v>74</v>
      </c>
      <c r="M593" t="s">
        <v>79</v>
      </c>
      <c r="N593" t="s">
        <v>126</v>
      </c>
      <c r="O593" t="s">
        <v>74</v>
      </c>
      <c r="P593" t="s">
        <v>74</v>
      </c>
      <c r="Q593" t="s">
        <v>74</v>
      </c>
      <c r="R593" t="s">
        <v>74</v>
      </c>
      <c r="S593" t="s">
        <v>74</v>
      </c>
      <c r="T593" t="s">
        <v>8764</v>
      </c>
      <c r="U593" t="s">
        <v>8765</v>
      </c>
      <c r="V593" t="s">
        <v>8766</v>
      </c>
      <c r="W593" t="s">
        <v>4617</v>
      </c>
      <c r="X593" t="s">
        <v>4618</v>
      </c>
      <c r="Y593" t="s">
        <v>4619</v>
      </c>
      <c r="Z593" t="s">
        <v>8767</v>
      </c>
      <c r="AA593" t="s">
        <v>74</v>
      </c>
      <c r="AB593" t="s">
        <v>74</v>
      </c>
      <c r="AC593" t="s">
        <v>74</v>
      </c>
      <c r="AD593" t="s">
        <v>74</v>
      </c>
      <c r="AE593" t="s">
        <v>74</v>
      </c>
      <c r="AF593" t="s">
        <v>74</v>
      </c>
      <c r="AG593">
        <v>11</v>
      </c>
      <c r="AH593">
        <v>0</v>
      </c>
      <c r="AI593">
        <v>0</v>
      </c>
      <c r="AJ593">
        <v>0</v>
      </c>
      <c r="AK593">
        <v>3</v>
      </c>
      <c r="AL593" t="s">
        <v>562</v>
      </c>
      <c r="AM593" t="s">
        <v>532</v>
      </c>
      <c r="AN593" t="s">
        <v>563</v>
      </c>
      <c r="AO593" t="s">
        <v>8768</v>
      </c>
      <c r="AP593" t="s">
        <v>8769</v>
      </c>
      <c r="AQ593" t="s">
        <v>74</v>
      </c>
      <c r="AR593" t="s">
        <v>8770</v>
      </c>
      <c r="AS593" t="s">
        <v>8771</v>
      </c>
      <c r="AT593" t="s">
        <v>8496</v>
      </c>
      <c r="AU593">
        <v>2004</v>
      </c>
      <c r="AV593">
        <v>38</v>
      </c>
      <c r="AW593">
        <v>1</v>
      </c>
      <c r="AX593" t="s">
        <v>74</v>
      </c>
      <c r="AY593" t="s">
        <v>74</v>
      </c>
      <c r="AZ593" t="s">
        <v>74</v>
      </c>
      <c r="BA593" t="s">
        <v>74</v>
      </c>
      <c r="BB593">
        <v>39</v>
      </c>
      <c r="BC593">
        <v>56</v>
      </c>
      <c r="BD593" t="s">
        <v>74</v>
      </c>
      <c r="BE593" t="s">
        <v>8772</v>
      </c>
      <c r="BF593" t="str">
        <f>HYPERLINK("http://dx.doi.org/10.1016/j.dynatmoce.2004.03.001","http://dx.doi.org/10.1016/j.dynatmoce.2004.03.001")</f>
        <v>http://dx.doi.org/10.1016/j.dynatmoce.2004.03.001</v>
      </c>
      <c r="BG593" t="s">
        <v>74</v>
      </c>
      <c r="BH593" t="s">
        <v>74</v>
      </c>
      <c r="BI593">
        <v>18</v>
      </c>
      <c r="BJ593" t="s">
        <v>8773</v>
      </c>
      <c r="BK593" t="s">
        <v>139</v>
      </c>
      <c r="BL593" t="s">
        <v>8773</v>
      </c>
      <c r="BM593" t="s">
        <v>8774</v>
      </c>
      <c r="BN593" t="s">
        <v>74</v>
      </c>
      <c r="BO593" t="s">
        <v>74</v>
      </c>
      <c r="BP593" t="s">
        <v>74</v>
      </c>
      <c r="BQ593" t="s">
        <v>74</v>
      </c>
      <c r="BR593" t="s">
        <v>98</v>
      </c>
      <c r="BS593" t="s">
        <v>8775</v>
      </c>
      <c r="BT593" t="str">
        <f>HYPERLINK("https%3A%2F%2Fwww.webofscience.com%2Fwos%2Fwoscc%2Ffull-record%2FWOS:000222127900002","View Full Record in Web of Science")</f>
        <v>View Full Record in Web of Science</v>
      </c>
    </row>
    <row r="594" spans="1:72" x14ac:dyDescent="0.15">
      <c r="A594" t="s">
        <v>122</v>
      </c>
      <c r="B594" t="s">
        <v>8776</v>
      </c>
      <c r="C594" t="s">
        <v>74</v>
      </c>
      <c r="D594" t="s">
        <v>74</v>
      </c>
      <c r="E594" t="s">
        <v>74</v>
      </c>
      <c r="F594" t="s">
        <v>8776</v>
      </c>
      <c r="G594" t="s">
        <v>74</v>
      </c>
      <c r="H594" t="s">
        <v>74</v>
      </c>
      <c r="I594" t="s">
        <v>8777</v>
      </c>
      <c r="J594" t="s">
        <v>4080</v>
      </c>
      <c r="K594" t="s">
        <v>74</v>
      </c>
      <c r="L594" t="s">
        <v>74</v>
      </c>
      <c r="M594" t="s">
        <v>79</v>
      </c>
      <c r="N594" t="s">
        <v>126</v>
      </c>
      <c r="O594" t="s">
        <v>74</v>
      </c>
      <c r="P594" t="s">
        <v>74</v>
      </c>
      <c r="Q594" t="s">
        <v>74</v>
      </c>
      <c r="R594" t="s">
        <v>74</v>
      </c>
      <c r="S594" t="s">
        <v>74</v>
      </c>
      <c r="T594" t="s">
        <v>74</v>
      </c>
      <c r="U594" t="s">
        <v>8778</v>
      </c>
      <c r="V594" t="s">
        <v>8779</v>
      </c>
      <c r="W594" t="s">
        <v>8780</v>
      </c>
      <c r="X594" t="s">
        <v>8781</v>
      </c>
      <c r="Y594" t="s">
        <v>8782</v>
      </c>
      <c r="Z594" t="s">
        <v>8783</v>
      </c>
      <c r="AA594" t="s">
        <v>74</v>
      </c>
      <c r="AB594" t="s">
        <v>74</v>
      </c>
      <c r="AC594" t="s">
        <v>74</v>
      </c>
      <c r="AD594" t="s">
        <v>74</v>
      </c>
      <c r="AE594" t="s">
        <v>74</v>
      </c>
      <c r="AF594" t="s">
        <v>74</v>
      </c>
      <c r="AG594">
        <v>60</v>
      </c>
      <c r="AH594">
        <v>112</v>
      </c>
      <c r="AI594">
        <v>124</v>
      </c>
      <c r="AJ594">
        <v>2</v>
      </c>
      <c r="AK594">
        <v>96</v>
      </c>
      <c r="AL594" t="s">
        <v>2170</v>
      </c>
      <c r="AM594" t="s">
        <v>240</v>
      </c>
      <c r="AN594" t="s">
        <v>2171</v>
      </c>
      <c r="AO594" t="s">
        <v>4089</v>
      </c>
      <c r="AP594" t="s">
        <v>4090</v>
      </c>
      <c r="AQ594" t="s">
        <v>74</v>
      </c>
      <c r="AR594" t="s">
        <v>4091</v>
      </c>
      <c r="AS594" t="s">
        <v>4092</v>
      </c>
      <c r="AT594" t="s">
        <v>8508</v>
      </c>
      <c r="AU594">
        <v>2004</v>
      </c>
      <c r="AV594">
        <v>38</v>
      </c>
      <c r="AW594">
        <v>13</v>
      </c>
      <c r="AX594" t="s">
        <v>74</v>
      </c>
      <c r="AY594" t="s">
        <v>74</v>
      </c>
      <c r="AZ594" t="s">
        <v>74</v>
      </c>
      <c r="BA594" t="s">
        <v>74</v>
      </c>
      <c r="BB594">
        <v>3551</v>
      </c>
      <c r="BC594">
        <v>3557</v>
      </c>
      <c r="BD594" t="s">
        <v>74</v>
      </c>
      <c r="BE594" t="s">
        <v>8784</v>
      </c>
      <c r="BF594" t="str">
        <f>HYPERLINK("http://dx.doi.org/10.1021/es0351793","http://dx.doi.org/10.1021/es0351793")</f>
        <v>http://dx.doi.org/10.1021/es0351793</v>
      </c>
      <c r="BG594" t="s">
        <v>74</v>
      </c>
      <c r="BH594" t="s">
        <v>74</v>
      </c>
      <c r="BI594">
        <v>7</v>
      </c>
      <c r="BJ594" t="s">
        <v>2585</v>
      </c>
      <c r="BK594" t="s">
        <v>139</v>
      </c>
      <c r="BL594" t="s">
        <v>2586</v>
      </c>
      <c r="BM594" t="s">
        <v>8785</v>
      </c>
      <c r="BN594">
        <v>15296304</v>
      </c>
      <c r="BO594" t="s">
        <v>988</v>
      </c>
      <c r="BP594" t="s">
        <v>74</v>
      </c>
      <c r="BQ594" t="s">
        <v>74</v>
      </c>
      <c r="BR594" t="s">
        <v>98</v>
      </c>
      <c r="BS594" t="s">
        <v>8786</v>
      </c>
      <c r="BT594" t="str">
        <f>HYPERLINK("https%3A%2F%2Fwww.webofscience.com%2Fwos%2Fwoscc%2Ffull-record%2FWOS:000222396400020","View Full Record in Web of Science")</f>
        <v>View Full Record in Web of Science</v>
      </c>
    </row>
    <row r="595" spans="1:72" x14ac:dyDescent="0.15">
      <c r="A595" t="s">
        <v>122</v>
      </c>
      <c r="B595" t="s">
        <v>8787</v>
      </c>
      <c r="C595" t="s">
        <v>74</v>
      </c>
      <c r="D595" t="s">
        <v>74</v>
      </c>
      <c r="E595" t="s">
        <v>74</v>
      </c>
      <c r="F595" t="s">
        <v>8788</v>
      </c>
      <c r="G595" t="s">
        <v>74</v>
      </c>
      <c r="H595" t="s">
        <v>8789</v>
      </c>
      <c r="I595" t="s">
        <v>8790</v>
      </c>
      <c r="J595" t="s">
        <v>8791</v>
      </c>
      <c r="K595" t="s">
        <v>74</v>
      </c>
      <c r="L595" t="s">
        <v>74</v>
      </c>
      <c r="M595" t="s">
        <v>79</v>
      </c>
      <c r="N595" t="s">
        <v>126</v>
      </c>
      <c r="O595" t="s">
        <v>74</v>
      </c>
      <c r="P595" t="s">
        <v>74</v>
      </c>
      <c r="Q595" t="s">
        <v>74</v>
      </c>
      <c r="R595" t="s">
        <v>74</v>
      </c>
      <c r="S595" t="s">
        <v>74</v>
      </c>
      <c r="T595" t="s">
        <v>74</v>
      </c>
      <c r="U595" t="s">
        <v>74</v>
      </c>
      <c r="V595" t="s">
        <v>8792</v>
      </c>
      <c r="W595" t="s">
        <v>8793</v>
      </c>
      <c r="X595" t="s">
        <v>8794</v>
      </c>
      <c r="Y595" t="s">
        <v>8795</v>
      </c>
      <c r="Z595" t="s">
        <v>74</v>
      </c>
      <c r="AA595" t="s">
        <v>74</v>
      </c>
      <c r="AB595" t="s">
        <v>8796</v>
      </c>
      <c r="AC595" t="s">
        <v>74</v>
      </c>
      <c r="AD595" t="s">
        <v>74</v>
      </c>
      <c r="AE595" t="s">
        <v>74</v>
      </c>
      <c r="AF595" t="s">
        <v>74</v>
      </c>
      <c r="AG595">
        <v>19</v>
      </c>
      <c r="AH595">
        <v>0</v>
      </c>
      <c r="AI595">
        <v>0</v>
      </c>
      <c r="AJ595">
        <v>0</v>
      </c>
      <c r="AK595">
        <v>0</v>
      </c>
      <c r="AL595" t="s">
        <v>1509</v>
      </c>
      <c r="AM595" t="s">
        <v>613</v>
      </c>
      <c r="AN595" t="s">
        <v>1948</v>
      </c>
      <c r="AO595" t="s">
        <v>8797</v>
      </c>
      <c r="AP595" t="s">
        <v>74</v>
      </c>
      <c r="AQ595" t="s">
        <v>74</v>
      </c>
      <c r="AR595" t="s">
        <v>8798</v>
      </c>
      <c r="AS595" t="s">
        <v>8799</v>
      </c>
      <c r="AT595" t="s">
        <v>8496</v>
      </c>
      <c r="AU595">
        <v>2004</v>
      </c>
      <c r="AV595">
        <v>33</v>
      </c>
      <c r="AW595" t="s">
        <v>74</v>
      </c>
      <c r="AX595" t="s">
        <v>74</v>
      </c>
      <c r="AY595">
        <v>1</v>
      </c>
      <c r="AZ595" t="s">
        <v>74</v>
      </c>
      <c r="BA595" t="s">
        <v>74</v>
      </c>
      <c r="BB595" t="s">
        <v>8800</v>
      </c>
      <c r="BC595" t="s">
        <v>8801</v>
      </c>
      <c r="BD595" t="s">
        <v>74</v>
      </c>
      <c r="BE595" t="s">
        <v>8802</v>
      </c>
      <c r="BF595" t="str">
        <f>HYPERLINK("http://dx.doi.org/10.1140/epjcd/s2004-03-1600-5","http://dx.doi.org/10.1140/epjcd/s2004-03-1600-5")</f>
        <v>http://dx.doi.org/10.1140/epjcd/s2004-03-1600-5</v>
      </c>
      <c r="BG595" t="s">
        <v>74</v>
      </c>
      <c r="BH595" t="s">
        <v>74</v>
      </c>
      <c r="BI595">
        <v>3</v>
      </c>
      <c r="BJ595" t="s">
        <v>8803</v>
      </c>
      <c r="BK595" t="s">
        <v>139</v>
      </c>
      <c r="BL595" t="s">
        <v>1471</v>
      </c>
      <c r="BM595" t="s">
        <v>8804</v>
      </c>
      <c r="BN595" t="s">
        <v>74</v>
      </c>
      <c r="BO595" t="s">
        <v>74</v>
      </c>
      <c r="BP595" t="s">
        <v>74</v>
      </c>
      <c r="BQ595" t="s">
        <v>74</v>
      </c>
      <c r="BR595" t="s">
        <v>98</v>
      </c>
      <c r="BS595" t="s">
        <v>8805</v>
      </c>
      <c r="BT595" t="str">
        <f>HYPERLINK("https%3A%2F%2Fwww.webofscience.com%2Fwos%2Fwoscc%2Ffull-record%2FWOS:000207563000258","View Full Record in Web of Science")</f>
        <v>View Full Record in Web of Science</v>
      </c>
    </row>
    <row r="596" spans="1:72" x14ac:dyDescent="0.15">
      <c r="A596" t="s">
        <v>122</v>
      </c>
      <c r="B596" t="s">
        <v>8806</v>
      </c>
      <c r="C596" t="s">
        <v>74</v>
      </c>
      <c r="D596" t="s">
        <v>74</v>
      </c>
      <c r="E596" t="s">
        <v>74</v>
      </c>
      <c r="F596" t="s">
        <v>8806</v>
      </c>
      <c r="G596" t="s">
        <v>74</v>
      </c>
      <c r="H596" t="s">
        <v>74</v>
      </c>
      <c r="I596" t="s">
        <v>8807</v>
      </c>
      <c r="J596" t="s">
        <v>6041</v>
      </c>
      <c r="K596" t="s">
        <v>74</v>
      </c>
      <c r="L596" t="s">
        <v>74</v>
      </c>
      <c r="M596" t="s">
        <v>79</v>
      </c>
      <c r="N596" t="s">
        <v>126</v>
      </c>
      <c r="O596" t="s">
        <v>74</v>
      </c>
      <c r="P596" t="s">
        <v>74</v>
      </c>
      <c r="Q596" t="s">
        <v>74</v>
      </c>
      <c r="R596" t="s">
        <v>74</v>
      </c>
      <c r="S596" t="s">
        <v>74</v>
      </c>
      <c r="T596" t="s">
        <v>8808</v>
      </c>
      <c r="U596" t="s">
        <v>8809</v>
      </c>
      <c r="V596" t="s">
        <v>8810</v>
      </c>
      <c r="W596" t="s">
        <v>2323</v>
      </c>
      <c r="X596" t="s">
        <v>748</v>
      </c>
      <c r="Y596" t="s">
        <v>502</v>
      </c>
      <c r="Z596" t="s">
        <v>8811</v>
      </c>
      <c r="AA596" t="s">
        <v>74</v>
      </c>
      <c r="AB596" t="s">
        <v>8812</v>
      </c>
      <c r="AC596" t="s">
        <v>74</v>
      </c>
      <c r="AD596" t="s">
        <v>74</v>
      </c>
      <c r="AE596" t="s">
        <v>74</v>
      </c>
      <c r="AF596" t="s">
        <v>74</v>
      </c>
      <c r="AG596">
        <v>48</v>
      </c>
      <c r="AH596">
        <v>34</v>
      </c>
      <c r="AI596">
        <v>38</v>
      </c>
      <c r="AJ596">
        <v>2</v>
      </c>
      <c r="AK596">
        <v>15</v>
      </c>
      <c r="AL596" t="s">
        <v>1418</v>
      </c>
      <c r="AM596" t="s">
        <v>1419</v>
      </c>
      <c r="AN596" t="s">
        <v>1420</v>
      </c>
      <c r="AO596" t="s">
        <v>6050</v>
      </c>
      <c r="AP596" t="s">
        <v>6051</v>
      </c>
      <c r="AQ596" t="s">
        <v>74</v>
      </c>
      <c r="AR596" t="s">
        <v>6052</v>
      </c>
      <c r="AS596" t="s">
        <v>6053</v>
      </c>
      <c r="AT596" t="s">
        <v>8496</v>
      </c>
      <c r="AU596">
        <v>2004</v>
      </c>
      <c r="AV596">
        <v>13</v>
      </c>
      <c r="AW596">
        <v>4</v>
      </c>
      <c r="AX596" t="s">
        <v>74</v>
      </c>
      <c r="AY596" t="s">
        <v>74</v>
      </c>
      <c r="AZ596" t="s">
        <v>74</v>
      </c>
      <c r="BA596" t="s">
        <v>74</v>
      </c>
      <c r="BB596">
        <v>255</v>
      </c>
      <c r="BC596">
        <v>266</v>
      </c>
      <c r="BD596" t="s">
        <v>74</v>
      </c>
      <c r="BE596" t="s">
        <v>8813</v>
      </c>
      <c r="BF596" t="str">
        <f>HYPERLINK("http://dx.doi.org/10.1111/j.1365-2419.2004.00288.x","http://dx.doi.org/10.1111/j.1365-2419.2004.00288.x")</f>
        <v>http://dx.doi.org/10.1111/j.1365-2419.2004.00288.x</v>
      </c>
      <c r="BG596" t="s">
        <v>74</v>
      </c>
      <c r="BH596" t="s">
        <v>74</v>
      </c>
      <c r="BI596">
        <v>12</v>
      </c>
      <c r="BJ596" t="s">
        <v>6055</v>
      </c>
      <c r="BK596" t="s">
        <v>139</v>
      </c>
      <c r="BL596" t="s">
        <v>6055</v>
      </c>
      <c r="BM596" t="s">
        <v>8814</v>
      </c>
      <c r="BN596" t="s">
        <v>74</v>
      </c>
      <c r="BO596" t="s">
        <v>74</v>
      </c>
      <c r="BP596" t="s">
        <v>74</v>
      </c>
      <c r="BQ596" t="s">
        <v>74</v>
      </c>
      <c r="BR596" t="s">
        <v>98</v>
      </c>
      <c r="BS596" t="s">
        <v>8815</v>
      </c>
      <c r="BT596" t="str">
        <f>HYPERLINK("https%3A%2F%2Fwww.webofscience.com%2Fwos%2Fwoscc%2Ffull-record%2FWOS:000222175800003","View Full Record in Web of Science")</f>
        <v>View Full Record in Web of Science</v>
      </c>
    </row>
    <row r="597" spans="1:72" x14ac:dyDescent="0.15">
      <c r="A597" t="s">
        <v>122</v>
      </c>
      <c r="B597" t="s">
        <v>8816</v>
      </c>
      <c r="C597" t="s">
        <v>74</v>
      </c>
      <c r="D597" t="s">
        <v>74</v>
      </c>
      <c r="E597" t="s">
        <v>74</v>
      </c>
      <c r="F597" t="s">
        <v>8816</v>
      </c>
      <c r="G597" t="s">
        <v>74</v>
      </c>
      <c r="H597" t="s">
        <v>74</v>
      </c>
      <c r="I597" t="s">
        <v>8817</v>
      </c>
      <c r="J597" t="s">
        <v>6060</v>
      </c>
      <c r="K597" t="s">
        <v>74</v>
      </c>
      <c r="L597" t="s">
        <v>74</v>
      </c>
      <c r="M597" t="s">
        <v>79</v>
      </c>
      <c r="N597" t="s">
        <v>126</v>
      </c>
      <c r="O597" t="s">
        <v>74</v>
      </c>
      <c r="P597" t="s">
        <v>74</v>
      </c>
      <c r="Q597" t="s">
        <v>74</v>
      </c>
      <c r="R597" t="s">
        <v>74</v>
      </c>
      <c r="S597" t="s">
        <v>74</v>
      </c>
      <c r="T597" t="s">
        <v>8818</v>
      </c>
      <c r="U597" t="s">
        <v>8819</v>
      </c>
      <c r="V597" t="s">
        <v>8820</v>
      </c>
      <c r="W597" t="s">
        <v>8821</v>
      </c>
      <c r="X597" t="s">
        <v>8822</v>
      </c>
      <c r="Y597" t="s">
        <v>8823</v>
      </c>
      <c r="Z597" t="s">
        <v>8824</v>
      </c>
      <c r="AA597" t="s">
        <v>74</v>
      </c>
      <c r="AB597" t="s">
        <v>74</v>
      </c>
      <c r="AC597" t="s">
        <v>74</v>
      </c>
      <c r="AD597" t="s">
        <v>74</v>
      </c>
      <c r="AE597" t="s">
        <v>74</v>
      </c>
      <c r="AF597" t="s">
        <v>74</v>
      </c>
      <c r="AG597">
        <v>51</v>
      </c>
      <c r="AH597">
        <v>19</v>
      </c>
      <c r="AI597">
        <v>20</v>
      </c>
      <c r="AJ597">
        <v>0</v>
      </c>
      <c r="AK597">
        <v>5</v>
      </c>
      <c r="AL597" t="s">
        <v>1330</v>
      </c>
      <c r="AM597" t="s">
        <v>197</v>
      </c>
      <c r="AN597" t="s">
        <v>1331</v>
      </c>
      <c r="AO597" t="s">
        <v>6064</v>
      </c>
      <c r="AP597" t="s">
        <v>74</v>
      </c>
      <c r="AQ597" t="s">
        <v>74</v>
      </c>
      <c r="AR597" t="s">
        <v>6066</v>
      </c>
      <c r="AS597" t="s">
        <v>6067</v>
      </c>
      <c r="AT597" t="s">
        <v>8496</v>
      </c>
      <c r="AU597">
        <v>2004</v>
      </c>
      <c r="AV597">
        <v>49</v>
      </c>
      <c r="AW597">
        <v>7</v>
      </c>
      <c r="AX597" t="s">
        <v>74</v>
      </c>
      <c r="AY597" t="s">
        <v>74</v>
      </c>
      <c r="AZ597" t="s">
        <v>74</v>
      </c>
      <c r="BA597" t="s">
        <v>74</v>
      </c>
      <c r="BB597">
        <v>853</v>
      </c>
      <c r="BC597">
        <v>869</v>
      </c>
      <c r="BD597" t="s">
        <v>74</v>
      </c>
      <c r="BE597" t="s">
        <v>8825</v>
      </c>
      <c r="BF597" t="str">
        <f>HYPERLINK("http://dx.doi.org/10.1111/j.1365-2427.2004.01230.x","http://dx.doi.org/10.1111/j.1365-2427.2004.01230.x")</f>
        <v>http://dx.doi.org/10.1111/j.1365-2427.2004.01230.x</v>
      </c>
      <c r="BG597" t="s">
        <v>74</v>
      </c>
      <c r="BH597" t="s">
        <v>74</v>
      </c>
      <c r="BI597">
        <v>17</v>
      </c>
      <c r="BJ597" t="s">
        <v>3942</v>
      </c>
      <c r="BK597" t="s">
        <v>139</v>
      </c>
      <c r="BL597" t="s">
        <v>1797</v>
      </c>
      <c r="BM597" t="s">
        <v>8826</v>
      </c>
      <c r="BN597" t="s">
        <v>74</v>
      </c>
      <c r="BO597" t="s">
        <v>74</v>
      </c>
      <c r="BP597" t="s">
        <v>74</v>
      </c>
      <c r="BQ597" t="s">
        <v>74</v>
      </c>
      <c r="BR597" t="s">
        <v>98</v>
      </c>
      <c r="BS597" t="s">
        <v>8827</v>
      </c>
      <c r="BT597" t="str">
        <f>HYPERLINK("https%3A%2F%2Fwww.webofscience.com%2Fwos%2Fwoscc%2Ffull-record%2FWOS:000222069900001","View Full Record in Web of Science")</f>
        <v>View Full Record in Web of Science</v>
      </c>
    </row>
    <row r="598" spans="1:72" x14ac:dyDescent="0.15">
      <c r="A598" t="s">
        <v>122</v>
      </c>
      <c r="B598" t="s">
        <v>8828</v>
      </c>
      <c r="C598" t="s">
        <v>74</v>
      </c>
      <c r="D598" t="s">
        <v>74</v>
      </c>
      <c r="E598" t="s">
        <v>74</v>
      </c>
      <c r="F598" t="s">
        <v>8828</v>
      </c>
      <c r="G598" t="s">
        <v>74</v>
      </c>
      <c r="H598" t="s">
        <v>74</v>
      </c>
      <c r="I598" t="s">
        <v>8829</v>
      </c>
      <c r="J598" t="s">
        <v>3171</v>
      </c>
      <c r="K598" t="s">
        <v>74</v>
      </c>
      <c r="L598" t="s">
        <v>74</v>
      </c>
      <c r="M598" t="s">
        <v>79</v>
      </c>
      <c r="N598" t="s">
        <v>126</v>
      </c>
      <c r="O598" t="s">
        <v>74</v>
      </c>
      <c r="P598" t="s">
        <v>74</v>
      </c>
      <c r="Q598" t="s">
        <v>74</v>
      </c>
      <c r="R598" t="s">
        <v>74</v>
      </c>
      <c r="S598" t="s">
        <v>74</v>
      </c>
      <c r="T598" t="s">
        <v>74</v>
      </c>
      <c r="U598" t="s">
        <v>8830</v>
      </c>
      <c r="V598" t="s">
        <v>8831</v>
      </c>
      <c r="W598" t="s">
        <v>8832</v>
      </c>
      <c r="X598" t="s">
        <v>8833</v>
      </c>
      <c r="Y598" t="s">
        <v>8834</v>
      </c>
      <c r="Z598" t="s">
        <v>8835</v>
      </c>
      <c r="AA598" t="s">
        <v>74</v>
      </c>
      <c r="AB598" t="s">
        <v>74</v>
      </c>
      <c r="AC598" t="s">
        <v>74</v>
      </c>
      <c r="AD598" t="s">
        <v>74</v>
      </c>
      <c r="AE598" t="s">
        <v>74</v>
      </c>
      <c r="AF598" t="s">
        <v>74</v>
      </c>
      <c r="AG598">
        <v>52</v>
      </c>
      <c r="AH598">
        <v>82</v>
      </c>
      <c r="AI598">
        <v>91</v>
      </c>
      <c r="AJ598">
        <v>0</v>
      </c>
      <c r="AK598">
        <v>31</v>
      </c>
      <c r="AL598" t="s">
        <v>1273</v>
      </c>
      <c r="AM598" t="s">
        <v>197</v>
      </c>
      <c r="AN598" t="s">
        <v>1274</v>
      </c>
      <c r="AO598" t="s">
        <v>3180</v>
      </c>
      <c r="AP598" t="s">
        <v>3181</v>
      </c>
      <c r="AQ598" t="s">
        <v>74</v>
      </c>
      <c r="AR598" t="s">
        <v>3182</v>
      </c>
      <c r="AS598" t="s">
        <v>3183</v>
      </c>
      <c r="AT598" t="s">
        <v>8496</v>
      </c>
      <c r="AU598">
        <v>2004</v>
      </c>
      <c r="AV598">
        <v>68</v>
      </c>
      <c r="AW598">
        <v>14</v>
      </c>
      <c r="AX598" t="s">
        <v>74</v>
      </c>
      <c r="AY598" t="s">
        <v>74</v>
      </c>
      <c r="AZ598" t="s">
        <v>74</v>
      </c>
      <c r="BA598" t="s">
        <v>74</v>
      </c>
      <c r="BB598">
        <v>2961</v>
      </c>
      <c r="BC598">
        <v>2980</v>
      </c>
      <c r="BD598" t="s">
        <v>74</v>
      </c>
      <c r="BE598" t="s">
        <v>8836</v>
      </c>
      <c r="BF598" t="str">
        <f>HYPERLINK("http://dx.doi.org/10.1016/j.gca.2003.12.022","http://dx.doi.org/10.1016/j.gca.2003.12.022")</f>
        <v>http://dx.doi.org/10.1016/j.gca.2003.12.022</v>
      </c>
      <c r="BG598" t="s">
        <v>74</v>
      </c>
      <c r="BH598" t="s">
        <v>74</v>
      </c>
      <c r="BI598">
        <v>20</v>
      </c>
      <c r="BJ598" t="s">
        <v>271</v>
      </c>
      <c r="BK598" t="s">
        <v>139</v>
      </c>
      <c r="BL598" t="s">
        <v>271</v>
      </c>
      <c r="BM598" t="s">
        <v>8837</v>
      </c>
      <c r="BN598" t="s">
        <v>74</v>
      </c>
      <c r="BO598" t="s">
        <v>74</v>
      </c>
      <c r="BP598" t="s">
        <v>74</v>
      </c>
      <c r="BQ598" t="s">
        <v>74</v>
      </c>
      <c r="BR598" t="s">
        <v>98</v>
      </c>
      <c r="BS598" t="s">
        <v>8838</v>
      </c>
      <c r="BT598" t="str">
        <f>HYPERLINK("https%3A%2F%2Fwww.webofscience.com%2Fwos%2Fwoscc%2Ffull-record%2FWOS:000222460800001","View Full Record in Web of Science")</f>
        <v>View Full Record in Web of Science</v>
      </c>
    </row>
    <row r="599" spans="1:72" x14ac:dyDescent="0.15">
      <c r="A599" t="s">
        <v>122</v>
      </c>
      <c r="B599" t="s">
        <v>8839</v>
      </c>
      <c r="C599" t="s">
        <v>74</v>
      </c>
      <c r="D599" t="s">
        <v>74</v>
      </c>
      <c r="E599" t="s">
        <v>74</v>
      </c>
      <c r="F599" t="s">
        <v>8839</v>
      </c>
      <c r="G599" t="s">
        <v>74</v>
      </c>
      <c r="H599" t="s">
        <v>74</v>
      </c>
      <c r="I599" t="s">
        <v>8840</v>
      </c>
      <c r="J599" t="s">
        <v>3190</v>
      </c>
      <c r="K599" t="s">
        <v>74</v>
      </c>
      <c r="L599" t="s">
        <v>74</v>
      </c>
      <c r="M599" t="s">
        <v>79</v>
      </c>
      <c r="N599" t="s">
        <v>126</v>
      </c>
      <c r="O599" t="s">
        <v>74</v>
      </c>
      <c r="P599" t="s">
        <v>74</v>
      </c>
      <c r="Q599" t="s">
        <v>74</v>
      </c>
      <c r="R599" t="s">
        <v>74</v>
      </c>
      <c r="S599" t="s">
        <v>74</v>
      </c>
      <c r="T599" t="s">
        <v>8841</v>
      </c>
      <c r="U599" t="s">
        <v>8842</v>
      </c>
      <c r="V599" t="s">
        <v>8843</v>
      </c>
      <c r="W599" t="s">
        <v>8844</v>
      </c>
      <c r="X599" t="s">
        <v>8845</v>
      </c>
      <c r="Y599" t="s">
        <v>8846</v>
      </c>
      <c r="Z599" t="s">
        <v>8847</v>
      </c>
      <c r="AA599" t="s">
        <v>74</v>
      </c>
      <c r="AB599" t="s">
        <v>74</v>
      </c>
      <c r="AC599" t="s">
        <v>74</v>
      </c>
      <c r="AD599" t="s">
        <v>74</v>
      </c>
      <c r="AE599" t="s">
        <v>74</v>
      </c>
      <c r="AF599" t="s">
        <v>74</v>
      </c>
      <c r="AG599">
        <v>80</v>
      </c>
      <c r="AH599">
        <v>115</v>
      </c>
      <c r="AI599">
        <v>120</v>
      </c>
      <c r="AJ599">
        <v>0</v>
      </c>
      <c r="AK599">
        <v>14</v>
      </c>
      <c r="AL599" t="s">
        <v>3199</v>
      </c>
      <c r="AM599" t="s">
        <v>2601</v>
      </c>
      <c r="AN599" t="s">
        <v>3200</v>
      </c>
      <c r="AO599" t="s">
        <v>3201</v>
      </c>
      <c r="AP599" t="s">
        <v>3202</v>
      </c>
      <c r="AQ599" t="s">
        <v>74</v>
      </c>
      <c r="AR599" t="s">
        <v>3203</v>
      </c>
      <c r="AS599" t="s">
        <v>3204</v>
      </c>
      <c r="AT599" t="s">
        <v>8757</v>
      </c>
      <c r="AU599">
        <v>2004</v>
      </c>
      <c r="AV599">
        <v>116</v>
      </c>
      <c r="AW599" t="s">
        <v>8848</v>
      </c>
      <c r="AX599" t="s">
        <v>74</v>
      </c>
      <c r="AY599" t="s">
        <v>74</v>
      </c>
      <c r="AZ599" t="s">
        <v>74</v>
      </c>
      <c r="BA599" t="s">
        <v>74</v>
      </c>
      <c r="BB599">
        <v>840</v>
      </c>
      <c r="BC599">
        <v>857</v>
      </c>
      <c r="BD599" t="s">
        <v>74</v>
      </c>
      <c r="BE599" t="s">
        <v>8849</v>
      </c>
      <c r="BF599" t="str">
        <f>HYPERLINK("http://dx.doi.org/10.1130/B25356.1","http://dx.doi.org/10.1130/B25356.1")</f>
        <v>http://dx.doi.org/10.1130/B25356.1</v>
      </c>
      <c r="BG599" t="s">
        <v>74</v>
      </c>
      <c r="BH599" t="s">
        <v>74</v>
      </c>
      <c r="BI599">
        <v>18</v>
      </c>
      <c r="BJ599" t="s">
        <v>248</v>
      </c>
      <c r="BK599" t="s">
        <v>139</v>
      </c>
      <c r="BL599" t="s">
        <v>249</v>
      </c>
      <c r="BM599" t="s">
        <v>8850</v>
      </c>
      <c r="BN599" t="s">
        <v>74</v>
      </c>
      <c r="BO599" t="s">
        <v>74</v>
      </c>
      <c r="BP599" t="s">
        <v>74</v>
      </c>
      <c r="BQ599" t="s">
        <v>74</v>
      </c>
      <c r="BR599" t="s">
        <v>98</v>
      </c>
      <c r="BS599" t="s">
        <v>8851</v>
      </c>
      <c r="BT599" t="str">
        <f>HYPERLINK("https%3A%2F%2Fwww.webofscience.com%2Fwos%2Fwoscc%2Ffull-record%2FWOS:000222493100005","View Full Record in Web of Science")</f>
        <v>View Full Record in Web of Science</v>
      </c>
    </row>
    <row r="600" spans="1:72" x14ac:dyDescent="0.15">
      <c r="A600" t="s">
        <v>122</v>
      </c>
      <c r="B600" t="s">
        <v>8852</v>
      </c>
      <c r="C600" t="s">
        <v>74</v>
      </c>
      <c r="D600" t="s">
        <v>74</v>
      </c>
      <c r="E600" t="s">
        <v>74</v>
      </c>
      <c r="F600" t="s">
        <v>8852</v>
      </c>
      <c r="G600" t="s">
        <v>74</v>
      </c>
      <c r="H600" t="s">
        <v>74</v>
      </c>
      <c r="I600" t="s">
        <v>8853</v>
      </c>
      <c r="J600" t="s">
        <v>3211</v>
      </c>
      <c r="K600" t="s">
        <v>74</v>
      </c>
      <c r="L600" t="s">
        <v>74</v>
      </c>
      <c r="M600" t="s">
        <v>79</v>
      </c>
      <c r="N600" t="s">
        <v>126</v>
      </c>
      <c r="O600" t="s">
        <v>74</v>
      </c>
      <c r="P600" t="s">
        <v>74</v>
      </c>
      <c r="Q600" t="s">
        <v>74</v>
      </c>
      <c r="R600" t="s">
        <v>74</v>
      </c>
      <c r="S600" t="s">
        <v>74</v>
      </c>
      <c r="T600" t="s">
        <v>8854</v>
      </c>
      <c r="U600" t="s">
        <v>8855</v>
      </c>
      <c r="V600" t="s">
        <v>8856</v>
      </c>
      <c r="W600" t="s">
        <v>8857</v>
      </c>
      <c r="X600" t="s">
        <v>8858</v>
      </c>
      <c r="Y600" t="s">
        <v>8859</v>
      </c>
      <c r="Z600" t="s">
        <v>74</v>
      </c>
      <c r="AA600" t="s">
        <v>74</v>
      </c>
      <c r="AB600" t="s">
        <v>74</v>
      </c>
      <c r="AC600" t="s">
        <v>74</v>
      </c>
      <c r="AD600" t="s">
        <v>74</v>
      </c>
      <c r="AE600" t="s">
        <v>74</v>
      </c>
      <c r="AF600" t="s">
        <v>74</v>
      </c>
      <c r="AG600">
        <v>16</v>
      </c>
      <c r="AH600">
        <v>25</v>
      </c>
      <c r="AI600">
        <v>32</v>
      </c>
      <c r="AJ600">
        <v>0</v>
      </c>
      <c r="AK600">
        <v>7</v>
      </c>
      <c r="AL600" t="s">
        <v>3236</v>
      </c>
      <c r="AM600" t="s">
        <v>2601</v>
      </c>
      <c r="AN600" t="s">
        <v>3200</v>
      </c>
      <c r="AO600" t="s">
        <v>3221</v>
      </c>
      <c r="AP600" t="s">
        <v>74</v>
      </c>
      <c r="AQ600" t="s">
        <v>74</v>
      </c>
      <c r="AR600" t="s">
        <v>3211</v>
      </c>
      <c r="AS600" t="s">
        <v>249</v>
      </c>
      <c r="AT600" t="s">
        <v>8496</v>
      </c>
      <c r="AU600">
        <v>2004</v>
      </c>
      <c r="AV600">
        <v>32</v>
      </c>
      <c r="AW600">
        <v>7</v>
      </c>
      <c r="AX600" t="s">
        <v>74</v>
      </c>
      <c r="AY600" t="s">
        <v>74</v>
      </c>
      <c r="AZ600" t="s">
        <v>74</v>
      </c>
      <c r="BA600" t="s">
        <v>74</v>
      </c>
      <c r="BB600">
        <v>557</v>
      </c>
      <c r="BC600">
        <v>560</v>
      </c>
      <c r="BD600" t="s">
        <v>74</v>
      </c>
      <c r="BE600" t="s">
        <v>8860</v>
      </c>
      <c r="BF600" t="str">
        <f>HYPERLINK("http://dx.doi.org/10.1130/G20423.1","http://dx.doi.org/10.1130/G20423.1")</f>
        <v>http://dx.doi.org/10.1130/G20423.1</v>
      </c>
      <c r="BG600" t="s">
        <v>74</v>
      </c>
      <c r="BH600" t="s">
        <v>74</v>
      </c>
      <c r="BI600">
        <v>4</v>
      </c>
      <c r="BJ600" t="s">
        <v>249</v>
      </c>
      <c r="BK600" t="s">
        <v>139</v>
      </c>
      <c r="BL600" t="s">
        <v>249</v>
      </c>
      <c r="BM600" t="s">
        <v>8861</v>
      </c>
      <c r="BN600" t="s">
        <v>74</v>
      </c>
      <c r="BO600" t="s">
        <v>74</v>
      </c>
      <c r="BP600" t="s">
        <v>74</v>
      </c>
      <c r="BQ600" t="s">
        <v>74</v>
      </c>
      <c r="BR600" t="s">
        <v>98</v>
      </c>
      <c r="BS600" t="s">
        <v>8862</v>
      </c>
      <c r="BT600" t="str">
        <f>HYPERLINK("https%3A%2F%2Fwww.webofscience.com%2Fwos%2Fwoscc%2Ffull-record%2FWOS:000222490800004","View Full Record in Web of Science")</f>
        <v>View Full Record in Web of Science</v>
      </c>
    </row>
    <row r="601" spans="1:72" x14ac:dyDescent="0.15">
      <c r="A601" t="s">
        <v>122</v>
      </c>
      <c r="B601" t="s">
        <v>8863</v>
      </c>
      <c r="C601" t="s">
        <v>74</v>
      </c>
      <c r="D601" t="s">
        <v>74</v>
      </c>
      <c r="E601" t="s">
        <v>74</v>
      </c>
      <c r="F601" t="s">
        <v>8863</v>
      </c>
      <c r="G601" t="s">
        <v>74</v>
      </c>
      <c r="H601" t="s">
        <v>8864</v>
      </c>
      <c r="I601" t="s">
        <v>8865</v>
      </c>
      <c r="J601" t="s">
        <v>7640</v>
      </c>
      <c r="K601" t="s">
        <v>74</v>
      </c>
      <c r="L601" t="s">
        <v>74</v>
      </c>
      <c r="M601" t="s">
        <v>79</v>
      </c>
      <c r="N601" t="s">
        <v>126</v>
      </c>
      <c r="O601" t="s">
        <v>74</v>
      </c>
      <c r="P601" t="s">
        <v>74</v>
      </c>
      <c r="Q601" t="s">
        <v>74</v>
      </c>
      <c r="R601" t="s">
        <v>74</v>
      </c>
      <c r="S601" t="s">
        <v>74</v>
      </c>
      <c r="T601" t="s">
        <v>8866</v>
      </c>
      <c r="U601" t="s">
        <v>8867</v>
      </c>
      <c r="V601" t="s">
        <v>8868</v>
      </c>
      <c r="W601" t="s">
        <v>8869</v>
      </c>
      <c r="X601" t="s">
        <v>103</v>
      </c>
      <c r="Y601" t="s">
        <v>8870</v>
      </c>
      <c r="Z601" t="s">
        <v>8871</v>
      </c>
      <c r="AA601" t="s">
        <v>8872</v>
      </c>
      <c r="AB601" t="s">
        <v>8873</v>
      </c>
      <c r="AC601" t="s">
        <v>74</v>
      </c>
      <c r="AD601" t="s">
        <v>74</v>
      </c>
      <c r="AE601" t="s">
        <v>74</v>
      </c>
      <c r="AF601" t="s">
        <v>74</v>
      </c>
      <c r="AG601">
        <v>86</v>
      </c>
      <c r="AH601">
        <v>35</v>
      </c>
      <c r="AI601">
        <v>37</v>
      </c>
      <c r="AJ601">
        <v>0</v>
      </c>
      <c r="AK601">
        <v>22</v>
      </c>
      <c r="AL601" t="s">
        <v>531</v>
      </c>
      <c r="AM601" t="s">
        <v>532</v>
      </c>
      <c r="AN601" t="s">
        <v>533</v>
      </c>
      <c r="AO601" t="s">
        <v>7651</v>
      </c>
      <c r="AP601" t="s">
        <v>7652</v>
      </c>
      <c r="AQ601" t="s">
        <v>74</v>
      </c>
      <c r="AR601" t="s">
        <v>7653</v>
      </c>
      <c r="AS601" t="s">
        <v>7654</v>
      </c>
      <c r="AT601" t="s">
        <v>8496</v>
      </c>
      <c r="AU601">
        <v>2004</v>
      </c>
      <c r="AV601">
        <v>42</v>
      </c>
      <c r="AW601" t="s">
        <v>595</v>
      </c>
      <c r="AX601" t="s">
        <v>74</v>
      </c>
      <c r="AY601" t="s">
        <v>74</v>
      </c>
      <c r="AZ601" t="s">
        <v>74</v>
      </c>
      <c r="BA601" t="s">
        <v>74</v>
      </c>
      <c r="BB601">
        <v>1</v>
      </c>
      <c r="BC601">
        <v>15</v>
      </c>
      <c r="BD601" t="s">
        <v>74</v>
      </c>
      <c r="BE601" t="s">
        <v>8874</v>
      </c>
      <c r="BF601" t="str">
        <f>HYPERLINK("http://dx.doi.org/10.1016/j.gloplacha.2003.11.008","http://dx.doi.org/10.1016/j.gloplacha.2003.11.008")</f>
        <v>http://dx.doi.org/10.1016/j.gloplacha.2003.11.008</v>
      </c>
      <c r="BG601" t="s">
        <v>74</v>
      </c>
      <c r="BH601" t="s">
        <v>74</v>
      </c>
      <c r="BI601">
        <v>15</v>
      </c>
      <c r="BJ601" t="s">
        <v>3767</v>
      </c>
      <c r="BK601" t="s">
        <v>139</v>
      </c>
      <c r="BL601" t="s">
        <v>3768</v>
      </c>
      <c r="BM601" t="s">
        <v>8875</v>
      </c>
      <c r="BN601" t="s">
        <v>74</v>
      </c>
      <c r="BO601" t="s">
        <v>988</v>
      </c>
      <c r="BP601" t="s">
        <v>74</v>
      </c>
      <c r="BQ601" t="s">
        <v>74</v>
      </c>
      <c r="BR601" t="s">
        <v>98</v>
      </c>
      <c r="BS601" t="s">
        <v>8876</v>
      </c>
      <c r="BT601" t="str">
        <f>HYPERLINK("https%3A%2F%2Fwww.webofscience.com%2Fwos%2Fwoscc%2Ffull-record%2FWOS:000223234800002","View Full Record in Web of Science")</f>
        <v>View Full Record in Web of Science</v>
      </c>
    </row>
    <row r="602" spans="1:72" x14ac:dyDescent="0.15">
      <c r="A602" t="s">
        <v>122</v>
      </c>
      <c r="B602" t="s">
        <v>8877</v>
      </c>
      <c r="C602" t="s">
        <v>74</v>
      </c>
      <c r="D602" t="s">
        <v>74</v>
      </c>
      <c r="E602" t="s">
        <v>74</v>
      </c>
      <c r="F602" t="s">
        <v>8877</v>
      </c>
      <c r="G602" t="s">
        <v>74</v>
      </c>
      <c r="H602" t="s">
        <v>74</v>
      </c>
      <c r="I602" t="s">
        <v>8878</v>
      </c>
      <c r="J602" t="s">
        <v>7640</v>
      </c>
      <c r="K602" t="s">
        <v>74</v>
      </c>
      <c r="L602" t="s">
        <v>74</v>
      </c>
      <c r="M602" t="s">
        <v>79</v>
      </c>
      <c r="N602" t="s">
        <v>918</v>
      </c>
      <c r="O602" t="s">
        <v>74</v>
      </c>
      <c r="P602" t="s">
        <v>74</v>
      </c>
      <c r="Q602" t="s">
        <v>74</v>
      </c>
      <c r="R602" t="s">
        <v>74</v>
      </c>
      <c r="S602" t="s">
        <v>74</v>
      </c>
      <c r="T602" t="s">
        <v>74</v>
      </c>
      <c r="U602" t="s">
        <v>74</v>
      </c>
      <c r="V602" t="s">
        <v>74</v>
      </c>
      <c r="W602" t="s">
        <v>8879</v>
      </c>
      <c r="X602" t="s">
        <v>8880</v>
      </c>
      <c r="Y602" t="s">
        <v>8881</v>
      </c>
      <c r="Z602" t="s">
        <v>8882</v>
      </c>
      <c r="AA602" t="s">
        <v>8883</v>
      </c>
      <c r="AB602" t="s">
        <v>8884</v>
      </c>
      <c r="AC602" t="s">
        <v>74</v>
      </c>
      <c r="AD602" t="s">
        <v>74</v>
      </c>
      <c r="AE602" t="s">
        <v>74</v>
      </c>
      <c r="AF602" t="s">
        <v>74</v>
      </c>
      <c r="AG602">
        <v>1</v>
      </c>
      <c r="AH602">
        <v>0</v>
      </c>
      <c r="AI602">
        <v>0</v>
      </c>
      <c r="AJ602">
        <v>0</v>
      </c>
      <c r="AK602">
        <v>3</v>
      </c>
      <c r="AL602" t="s">
        <v>562</v>
      </c>
      <c r="AM602" t="s">
        <v>532</v>
      </c>
      <c r="AN602" t="s">
        <v>563</v>
      </c>
      <c r="AO602" t="s">
        <v>7651</v>
      </c>
      <c r="AP602" t="s">
        <v>74</v>
      </c>
      <c r="AQ602" t="s">
        <v>74</v>
      </c>
      <c r="AR602" t="s">
        <v>7653</v>
      </c>
      <c r="AS602" t="s">
        <v>7654</v>
      </c>
      <c r="AT602" t="s">
        <v>8496</v>
      </c>
      <c r="AU602">
        <v>2004</v>
      </c>
      <c r="AV602">
        <v>42</v>
      </c>
      <c r="AW602" t="s">
        <v>595</v>
      </c>
      <c r="AX602" t="s">
        <v>74</v>
      </c>
      <c r="AY602" t="s">
        <v>74</v>
      </c>
      <c r="AZ602" t="s">
        <v>74</v>
      </c>
      <c r="BA602" t="s">
        <v>74</v>
      </c>
      <c r="BB602" t="s">
        <v>8885</v>
      </c>
      <c r="BC602" t="s">
        <v>8886</v>
      </c>
      <c r="BD602" t="s">
        <v>74</v>
      </c>
      <c r="BE602" t="s">
        <v>8887</v>
      </c>
      <c r="BF602" t="str">
        <f>HYPERLINK("http://dx.doi.org/10.1016/j.gloplacha.2004.02.002","http://dx.doi.org/10.1016/j.gloplacha.2004.02.002")</f>
        <v>http://dx.doi.org/10.1016/j.gloplacha.2004.02.002</v>
      </c>
      <c r="BG602" t="s">
        <v>74</v>
      </c>
      <c r="BH602" t="s">
        <v>74</v>
      </c>
      <c r="BI602">
        <v>3</v>
      </c>
      <c r="BJ602" t="s">
        <v>3767</v>
      </c>
      <c r="BK602" t="s">
        <v>139</v>
      </c>
      <c r="BL602" t="s">
        <v>3768</v>
      </c>
      <c r="BM602" t="s">
        <v>8875</v>
      </c>
      <c r="BN602" t="s">
        <v>74</v>
      </c>
      <c r="BO602" t="s">
        <v>74</v>
      </c>
      <c r="BP602" t="s">
        <v>74</v>
      </c>
      <c r="BQ602" t="s">
        <v>74</v>
      </c>
      <c r="BR602" t="s">
        <v>98</v>
      </c>
      <c r="BS602" t="s">
        <v>8888</v>
      </c>
      <c r="BT602" t="str">
        <f>HYPERLINK("https%3A%2F%2Fwww.webofscience.com%2Fwos%2Fwoscc%2Ffull-record%2FWOS:000223234800001","View Full Record in Web of Science")</f>
        <v>View Full Record in Web of Science</v>
      </c>
    </row>
    <row r="603" spans="1:72" x14ac:dyDescent="0.15">
      <c r="A603" t="s">
        <v>122</v>
      </c>
      <c r="B603" t="s">
        <v>8889</v>
      </c>
      <c r="C603" t="s">
        <v>74</v>
      </c>
      <c r="D603" t="s">
        <v>74</v>
      </c>
      <c r="E603" t="s">
        <v>74</v>
      </c>
      <c r="F603" t="s">
        <v>8889</v>
      </c>
      <c r="G603" t="s">
        <v>74</v>
      </c>
      <c r="H603" t="s">
        <v>74</v>
      </c>
      <c r="I603" t="s">
        <v>8890</v>
      </c>
      <c r="J603" t="s">
        <v>7640</v>
      </c>
      <c r="K603" t="s">
        <v>74</v>
      </c>
      <c r="L603" t="s">
        <v>74</v>
      </c>
      <c r="M603" t="s">
        <v>79</v>
      </c>
      <c r="N603" t="s">
        <v>126</v>
      </c>
      <c r="O603" t="s">
        <v>74</v>
      </c>
      <c r="P603" t="s">
        <v>74</v>
      </c>
      <c r="Q603" t="s">
        <v>74</v>
      </c>
      <c r="R603" t="s">
        <v>74</v>
      </c>
      <c r="S603" t="s">
        <v>74</v>
      </c>
      <c r="T603" t="s">
        <v>8891</v>
      </c>
      <c r="U603" t="s">
        <v>8892</v>
      </c>
      <c r="V603" t="s">
        <v>8893</v>
      </c>
      <c r="W603" t="s">
        <v>5634</v>
      </c>
      <c r="X603" t="s">
        <v>5635</v>
      </c>
      <c r="Y603" t="s">
        <v>8894</v>
      </c>
      <c r="Z603" t="s">
        <v>8895</v>
      </c>
      <c r="AA603" t="s">
        <v>74</v>
      </c>
      <c r="AB603" t="s">
        <v>74</v>
      </c>
      <c r="AC603" t="s">
        <v>74</v>
      </c>
      <c r="AD603" t="s">
        <v>74</v>
      </c>
      <c r="AE603" t="s">
        <v>74</v>
      </c>
      <c r="AF603" t="s">
        <v>74</v>
      </c>
      <c r="AG603">
        <v>32</v>
      </c>
      <c r="AH603">
        <v>7</v>
      </c>
      <c r="AI603">
        <v>11</v>
      </c>
      <c r="AJ603">
        <v>0</v>
      </c>
      <c r="AK603">
        <v>5</v>
      </c>
      <c r="AL603" t="s">
        <v>562</v>
      </c>
      <c r="AM603" t="s">
        <v>532</v>
      </c>
      <c r="AN603" t="s">
        <v>563</v>
      </c>
      <c r="AO603" t="s">
        <v>7651</v>
      </c>
      <c r="AP603" t="s">
        <v>74</v>
      </c>
      <c r="AQ603" t="s">
        <v>74</v>
      </c>
      <c r="AR603" t="s">
        <v>7653</v>
      </c>
      <c r="AS603" t="s">
        <v>7654</v>
      </c>
      <c r="AT603" t="s">
        <v>8496</v>
      </c>
      <c r="AU603">
        <v>2004</v>
      </c>
      <c r="AV603">
        <v>42</v>
      </c>
      <c r="AW603" t="s">
        <v>595</v>
      </c>
      <c r="AX603" t="s">
        <v>74</v>
      </c>
      <c r="AY603" t="s">
        <v>74</v>
      </c>
      <c r="AZ603" t="s">
        <v>74</v>
      </c>
      <c r="BA603" t="s">
        <v>74</v>
      </c>
      <c r="BB603">
        <v>17</v>
      </c>
      <c r="BC603">
        <v>30</v>
      </c>
      <c r="BD603" t="s">
        <v>74</v>
      </c>
      <c r="BE603" t="s">
        <v>8896</v>
      </c>
      <c r="BF603" t="str">
        <f>HYPERLINK("http://dx.doi.org/10.1016/j.gloplacha.2003.11.002","http://dx.doi.org/10.1016/j.gloplacha.2003.11.002")</f>
        <v>http://dx.doi.org/10.1016/j.gloplacha.2003.11.002</v>
      </c>
      <c r="BG603" t="s">
        <v>74</v>
      </c>
      <c r="BH603" t="s">
        <v>74</v>
      </c>
      <c r="BI603">
        <v>14</v>
      </c>
      <c r="BJ603" t="s">
        <v>3767</v>
      </c>
      <c r="BK603" t="s">
        <v>139</v>
      </c>
      <c r="BL603" t="s">
        <v>3768</v>
      </c>
      <c r="BM603" t="s">
        <v>8875</v>
      </c>
      <c r="BN603" t="s">
        <v>74</v>
      </c>
      <c r="BO603" t="s">
        <v>74</v>
      </c>
      <c r="BP603" t="s">
        <v>74</v>
      </c>
      <c r="BQ603" t="s">
        <v>74</v>
      </c>
      <c r="BR603" t="s">
        <v>98</v>
      </c>
      <c r="BS603" t="s">
        <v>8897</v>
      </c>
      <c r="BT603" t="str">
        <f>HYPERLINK("https%3A%2F%2Fwww.webofscience.com%2Fwos%2Fwoscc%2Ffull-record%2FWOS:000223234800003","View Full Record in Web of Science")</f>
        <v>View Full Record in Web of Science</v>
      </c>
    </row>
    <row r="604" spans="1:72" x14ac:dyDescent="0.15">
      <c r="A604" t="s">
        <v>122</v>
      </c>
      <c r="B604" t="s">
        <v>8898</v>
      </c>
      <c r="C604" t="s">
        <v>74</v>
      </c>
      <c r="D604" t="s">
        <v>74</v>
      </c>
      <c r="E604" t="s">
        <v>74</v>
      </c>
      <c r="F604" t="s">
        <v>8898</v>
      </c>
      <c r="G604" t="s">
        <v>74</v>
      </c>
      <c r="H604" t="s">
        <v>74</v>
      </c>
      <c r="I604" t="s">
        <v>8899</v>
      </c>
      <c r="J604" t="s">
        <v>7640</v>
      </c>
      <c r="K604" t="s">
        <v>74</v>
      </c>
      <c r="L604" t="s">
        <v>74</v>
      </c>
      <c r="M604" t="s">
        <v>79</v>
      </c>
      <c r="N604" t="s">
        <v>126</v>
      </c>
      <c r="O604" t="s">
        <v>74</v>
      </c>
      <c r="P604" t="s">
        <v>74</v>
      </c>
      <c r="Q604" t="s">
        <v>74</v>
      </c>
      <c r="R604" t="s">
        <v>74</v>
      </c>
      <c r="S604" t="s">
        <v>74</v>
      </c>
      <c r="T604" t="s">
        <v>8900</v>
      </c>
      <c r="U604" t="s">
        <v>8901</v>
      </c>
      <c r="V604" t="s">
        <v>8902</v>
      </c>
      <c r="W604" t="s">
        <v>8903</v>
      </c>
      <c r="X604" t="s">
        <v>2728</v>
      </c>
      <c r="Y604" t="s">
        <v>8904</v>
      </c>
      <c r="Z604" t="s">
        <v>8905</v>
      </c>
      <c r="AA604" t="s">
        <v>74</v>
      </c>
      <c r="AB604" t="s">
        <v>74</v>
      </c>
      <c r="AC604" t="s">
        <v>74</v>
      </c>
      <c r="AD604" t="s">
        <v>74</v>
      </c>
      <c r="AE604" t="s">
        <v>74</v>
      </c>
      <c r="AF604" t="s">
        <v>74</v>
      </c>
      <c r="AG604">
        <v>39</v>
      </c>
      <c r="AH604">
        <v>20</v>
      </c>
      <c r="AI604">
        <v>21</v>
      </c>
      <c r="AJ604">
        <v>0</v>
      </c>
      <c r="AK604">
        <v>7</v>
      </c>
      <c r="AL604" t="s">
        <v>562</v>
      </c>
      <c r="AM604" t="s">
        <v>532</v>
      </c>
      <c r="AN604" t="s">
        <v>563</v>
      </c>
      <c r="AO604" t="s">
        <v>7651</v>
      </c>
      <c r="AP604" t="s">
        <v>7652</v>
      </c>
      <c r="AQ604" t="s">
        <v>74</v>
      </c>
      <c r="AR604" t="s">
        <v>7653</v>
      </c>
      <c r="AS604" t="s">
        <v>7654</v>
      </c>
      <c r="AT604" t="s">
        <v>8496</v>
      </c>
      <c r="AU604">
        <v>2004</v>
      </c>
      <c r="AV604">
        <v>42</v>
      </c>
      <c r="AW604" t="s">
        <v>595</v>
      </c>
      <c r="AX604" t="s">
        <v>74</v>
      </c>
      <c r="AY604" t="s">
        <v>74</v>
      </c>
      <c r="AZ604" t="s">
        <v>74</v>
      </c>
      <c r="BA604" t="s">
        <v>74</v>
      </c>
      <c r="BB604">
        <v>31</v>
      </c>
      <c r="BC604">
        <v>43</v>
      </c>
      <c r="BD604" t="s">
        <v>74</v>
      </c>
      <c r="BE604" t="s">
        <v>8906</v>
      </c>
      <c r="BF604" t="str">
        <f>HYPERLINK("http://dx.doi.org/10.1016/j.gloplacha.2003.11.009","http://dx.doi.org/10.1016/j.gloplacha.2003.11.009")</f>
        <v>http://dx.doi.org/10.1016/j.gloplacha.2003.11.009</v>
      </c>
      <c r="BG604" t="s">
        <v>74</v>
      </c>
      <c r="BH604" t="s">
        <v>74</v>
      </c>
      <c r="BI604">
        <v>13</v>
      </c>
      <c r="BJ604" t="s">
        <v>3767</v>
      </c>
      <c r="BK604" t="s">
        <v>139</v>
      </c>
      <c r="BL604" t="s">
        <v>3768</v>
      </c>
      <c r="BM604" t="s">
        <v>8875</v>
      </c>
      <c r="BN604" t="s">
        <v>74</v>
      </c>
      <c r="BO604" t="s">
        <v>74</v>
      </c>
      <c r="BP604" t="s">
        <v>74</v>
      </c>
      <c r="BQ604" t="s">
        <v>74</v>
      </c>
      <c r="BR604" t="s">
        <v>98</v>
      </c>
      <c r="BS604" t="s">
        <v>8907</v>
      </c>
      <c r="BT604" t="str">
        <f>HYPERLINK("https%3A%2F%2Fwww.webofscience.com%2Fwos%2Fwoscc%2Ffull-record%2FWOS:000223234800004","View Full Record in Web of Science")</f>
        <v>View Full Record in Web of Science</v>
      </c>
    </row>
    <row r="605" spans="1:72" x14ac:dyDescent="0.15">
      <c r="A605" t="s">
        <v>122</v>
      </c>
      <c r="B605" t="s">
        <v>8908</v>
      </c>
      <c r="C605" t="s">
        <v>74</v>
      </c>
      <c r="D605" t="s">
        <v>74</v>
      </c>
      <c r="E605" t="s">
        <v>74</v>
      </c>
      <c r="F605" t="s">
        <v>8908</v>
      </c>
      <c r="G605" t="s">
        <v>74</v>
      </c>
      <c r="H605" t="s">
        <v>74</v>
      </c>
      <c r="I605" t="s">
        <v>8909</v>
      </c>
      <c r="J605" t="s">
        <v>7640</v>
      </c>
      <c r="K605" t="s">
        <v>74</v>
      </c>
      <c r="L605" t="s">
        <v>74</v>
      </c>
      <c r="M605" t="s">
        <v>79</v>
      </c>
      <c r="N605" t="s">
        <v>126</v>
      </c>
      <c r="O605" t="s">
        <v>74</v>
      </c>
      <c r="P605" t="s">
        <v>74</v>
      </c>
      <c r="Q605" t="s">
        <v>74</v>
      </c>
      <c r="R605" t="s">
        <v>74</v>
      </c>
      <c r="S605" t="s">
        <v>74</v>
      </c>
      <c r="T605" t="s">
        <v>8910</v>
      </c>
      <c r="U605" t="s">
        <v>8911</v>
      </c>
      <c r="V605" t="s">
        <v>8912</v>
      </c>
      <c r="W605" t="s">
        <v>8913</v>
      </c>
      <c r="X605" t="s">
        <v>8914</v>
      </c>
      <c r="Y605" t="s">
        <v>8915</v>
      </c>
      <c r="Z605" t="s">
        <v>8916</v>
      </c>
      <c r="AA605" t="s">
        <v>8917</v>
      </c>
      <c r="AB605" t="s">
        <v>8918</v>
      </c>
      <c r="AC605" t="s">
        <v>74</v>
      </c>
      <c r="AD605" t="s">
        <v>74</v>
      </c>
      <c r="AE605" t="s">
        <v>74</v>
      </c>
      <c r="AF605" t="s">
        <v>74</v>
      </c>
      <c r="AG605">
        <v>50</v>
      </c>
      <c r="AH605">
        <v>56</v>
      </c>
      <c r="AI605">
        <v>64</v>
      </c>
      <c r="AJ605">
        <v>0</v>
      </c>
      <c r="AK605">
        <v>15</v>
      </c>
      <c r="AL605" t="s">
        <v>562</v>
      </c>
      <c r="AM605" t="s">
        <v>532</v>
      </c>
      <c r="AN605" t="s">
        <v>563</v>
      </c>
      <c r="AO605" t="s">
        <v>7651</v>
      </c>
      <c r="AP605" t="s">
        <v>7652</v>
      </c>
      <c r="AQ605" t="s">
        <v>74</v>
      </c>
      <c r="AR605" t="s">
        <v>7653</v>
      </c>
      <c r="AS605" t="s">
        <v>7654</v>
      </c>
      <c r="AT605" t="s">
        <v>8496</v>
      </c>
      <c r="AU605">
        <v>2004</v>
      </c>
      <c r="AV605">
        <v>42</v>
      </c>
      <c r="AW605" t="s">
        <v>595</v>
      </c>
      <c r="AX605" t="s">
        <v>74</v>
      </c>
      <c r="AY605" t="s">
        <v>74</v>
      </c>
      <c r="AZ605" t="s">
        <v>74</v>
      </c>
      <c r="BA605" t="s">
        <v>74</v>
      </c>
      <c r="BB605">
        <v>45</v>
      </c>
      <c r="BC605">
        <v>58</v>
      </c>
      <c r="BD605" t="s">
        <v>74</v>
      </c>
      <c r="BE605" t="s">
        <v>8919</v>
      </c>
      <c r="BF605" t="str">
        <f>HYPERLINK("http://dx.doi.org/10.1016/j.gloplacha.2003.11.010","http://dx.doi.org/10.1016/j.gloplacha.2003.11.010")</f>
        <v>http://dx.doi.org/10.1016/j.gloplacha.2003.11.010</v>
      </c>
      <c r="BG605" t="s">
        <v>74</v>
      </c>
      <c r="BH605" t="s">
        <v>74</v>
      </c>
      <c r="BI605">
        <v>14</v>
      </c>
      <c r="BJ605" t="s">
        <v>3767</v>
      </c>
      <c r="BK605" t="s">
        <v>139</v>
      </c>
      <c r="BL605" t="s">
        <v>3768</v>
      </c>
      <c r="BM605" t="s">
        <v>8875</v>
      </c>
      <c r="BN605" t="s">
        <v>74</v>
      </c>
      <c r="BO605" t="s">
        <v>74</v>
      </c>
      <c r="BP605" t="s">
        <v>74</v>
      </c>
      <c r="BQ605" t="s">
        <v>74</v>
      </c>
      <c r="BR605" t="s">
        <v>98</v>
      </c>
      <c r="BS605" t="s">
        <v>8920</v>
      </c>
      <c r="BT605" t="str">
        <f>HYPERLINK("https%3A%2F%2Fwww.webofscience.com%2Fwos%2Fwoscc%2Ffull-record%2FWOS:000223234800005","View Full Record in Web of Science")</f>
        <v>View Full Record in Web of Science</v>
      </c>
    </row>
    <row r="606" spans="1:72" x14ac:dyDescent="0.15">
      <c r="A606" t="s">
        <v>122</v>
      </c>
      <c r="B606" t="s">
        <v>8921</v>
      </c>
      <c r="C606" t="s">
        <v>74</v>
      </c>
      <c r="D606" t="s">
        <v>74</v>
      </c>
      <c r="E606" t="s">
        <v>74</v>
      </c>
      <c r="F606" t="s">
        <v>8921</v>
      </c>
      <c r="G606" t="s">
        <v>74</v>
      </c>
      <c r="H606" t="s">
        <v>74</v>
      </c>
      <c r="I606" t="s">
        <v>8922</v>
      </c>
      <c r="J606" t="s">
        <v>7640</v>
      </c>
      <c r="K606" t="s">
        <v>74</v>
      </c>
      <c r="L606" t="s">
        <v>74</v>
      </c>
      <c r="M606" t="s">
        <v>79</v>
      </c>
      <c r="N606" t="s">
        <v>126</v>
      </c>
      <c r="O606" t="s">
        <v>74</v>
      </c>
      <c r="P606" t="s">
        <v>74</v>
      </c>
      <c r="Q606" t="s">
        <v>74</v>
      </c>
      <c r="R606" t="s">
        <v>74</v>
      </c>
      <c r="S606" t="s">
        <v>74</v>
      </c>
      <c r="T606" t="s">
        <v>8923</v>
      </c>
      <c r="U606" t="s">
        <v>8924</v>
      </c>
      <c r="V606" t="s">
        <v>8925</v>
      </c>
      <c r="W606" t="s">
        <v>8926</v>
      </c>
      <c r="X606" t="s">
        <v>8927</v>
      </c>
      <c r="Y606" t="s">
        <v>8223</v>
      </c>
      <c r="Z606" t="s">
        <v>8928</v>
      </c>
      <c r="AA606" t="s">
        <v>8929</v>
      </c>
      <c r="AB606" t="s">
        <v>8930</v>
      </c>
      <c r="AC606" t="s">
        <v>74</v>
      </c>
      <c r="AD606" t="s">
        <v>74</v>
      </c>
      <c r="AE606" t="s">
        <v>74</v>
      </c>
      <c r="AF606" t="s">
        <v>74</v>
      </c>
      <c r="AG606">
        <v>53</v>
      </c>
      <c r="AH606">
        <v>105</v>
      </c>
      <c r="AI606">
        <v>116</v>
      </c>
      <c r="AJ606">
        <v>0</v>
      </c>
      <c r="AK606">
        <v>28</v>
      </c>
      <c r="AL606" t="s">
        <v>531</v>
      </c>
      <c r="AM606" t="s">
        <v>532</v>
      </c>
      <c r="AN606" t="s">
        <v>533</v>
      </c>
      <c r="AO606" t="s">
        <v>7651</v>
      </c>
      <c r="AP606" t="s">
        <v>7652</v>
      </c>
      <c r="AQ606" t="s">
        <v>74</v>
      </c>
      <c r="AR606" t="s">
        <v>7653</v>
      </c>
      <c r="AS606" t="s">
        <v>7654</v>
      </c>
      <c r="AT606" t="s">
        <v>8496</v>
      </c>
      <c r="AU606">
        <v>2004</v>
      </c>
      <c r="AV606">
        <v>42</v>
      </c>
      <c r="AW606" t="s">
        <v>595</v>
      </c>
      <c r="AX606" t="s">
        <v>74</v>
      </c>
      <c r="AY606" t="s">
        <v>74</v>
      </c>
      <c r="AZ606" t="s">
        <v>74</v>
      </c>
      <c r="BA606" t="s">
        <v>74</v>
      </c>
      <c r="BB606">
        <v>83</v>
      </c>
      <c r="BC606">
        <v>105</v>
      </c>
      <c r="BD606" t="s">
        <v>74</v>
      </c>
      <c r="BE606" t="s">
        <v>8931</v>
      </c>
      <c r="BF606" t="str">
        <f>HYPERLINK("http://dx.doi.org/10.1016/j.gloplacha.2003.11.011","http://dx.doi.org/10.1016/j.gloplacha.2003.11.011")</f>
        <v>http://dx.doi.org/10.1016/j.gloplacha.2003.11.011</v>
      </c>
      <c r="BG606" t="s">
        <v>74</v>
      </c>
      <c r="BH606" t="s">
        <v>74</v>
      </c>
      <c r="BI606">
        <v>23</v>
      </c>
      <c r="BJ606" t="s">
        <v>3767</v>
      </c>
      <c r="BK606" t="s">
        <v>139</v>
      </c>
      <c r="BL606" t="s">
        <v>3768</v>
      </c>
      <c r="BM606" t="s">
        <v>8875</v>
      </c>
      <c r="BN606" t="s">
        <v>74</v>
      </c>
      <c r="BO606" t="s">
        <v>329</v>
      </c>
      <c r="BP606" t="s">
        <v>74</v>
      </c>
      <c r="BQ606" t="s">
        <v>74</v>
      </c>
      <c r="BR606" t="s">
        <v>98</v>
      </c>
      <c r="BS606" t="s">
        <v>8932</v>
      </c>
      <c r="BT606" t="str">
        <f>HYPERLINK("https%3A%2F%2Fwww.webofscience.com%2Fwos%2Fwoscc%2Ffull-record%2FWOS:000223234800007","View Full Record in Web of Science")</f>
        <v>View Full Record in Web of Science</v>
      </c>
    </row>
    <row r="607" spans="1:72" x14ac:dyDescent="0.15">
      <c r="A607" t="s">
        <v>122</v>
      </c>
      <c r="B607" t="s">
        <v>8933</v>
      </c>
      <c r="C607" t="s">
        <v>74</v>
      </c>
      <c r="D607" t="s">
        <v>74</v>
      </c>
      <c r="E607" t="s">
        <v>74</v>
      </c>
      <c r="F607" t="s">
        <v>8933</v>
      </c>
      <c r="G607" t="s">
        <v>74</v>
      </c>
      <c r="H607" t="s">
        <v>74</v>
      </c>
      <c r="I607" t="s">
        <v>8934</v>
      </c>
      <c r="J607" t="s">
        <v>7640</v>
      </c>
      <c r="K607" t="s">
        <v>74</v>
      </c>
      <c r="L607" t="s">
        <v>74</v>
      </c>
      <c r="M607" t="s">
        <v>79</v>
      </c>
      <c r="N607" t="s">
        <v>126</v>
      </c>
      <c r="O607" t="s">
        <v>74</v>
      </c>
      <c r="P607" t="s">
        <v>74</v>
      </c>
      <c r="Q607" t="s">
        <v>74</v>
      </c>
      <c r="R607" t="s">
        <v>74</v>
      </c>
      <c r="S607" t="s">
        <v>74</v>
      </c>
      <c r="T607" t="s">
        <v>8935</v>
      </c>
      <c r="U607" t="s">
        <v>8936</v>
      </c>
      <c r="V607" t="s">
        <v>8937</v>
      </c>
      <c r="W607" t="s">
        <v>8938</v>
      </c>
      <c r="X607" t="s">
        <v>8939</v>
      </c>
      <c r="Y607" t="s">
        <v>8940</v>
      </c>
      <c r="Z607" t="s">
        <v>8941</v>
      </c>
      <c r="AA607" t="s">
        <v>74</v>
      </c>
      <c r="AB607" t="s">
        <v>8942</v>
      </c>
      <c r="AC607" t="s">
        <v>74</v>
      </c>
      <c r="AD607" t="s">
        <v>74</v>
      </c>
      <c r="AE607" t="s">
        <v>74</v>
      </c>
      <c r="AF607" t="s">
        <v>74</v>
      </c>
      <c r="AG607">
        <v>53</v>
      </c>
      <c r="AH607">
        <v>23</v>
      </c>
      <c r="AI607">
        <v>26</v>
      </c>
      <c r="AJ607">
        <v>0</v>
      </c>
      <c r="AK607">
        <v>7</v>
      </c>
      <c r="AL607" t="s">
        <v>562</v>
      </c>
      <c r="AM607" t="s">
        <v>532</v>
      </c>
      <c r="AN607" t="s">
        <v>563</v>
      </c>
      <c r="AO607" t="s">
        <v>7651</v>
      </c>
      <c r="AP607" t="s">
        <v>7652</v>
      </c>
      <c r="AQ607" t="s">
        <v>74</v>
      </c>
      <c r="AR607" t="s">
        <v>7653</v>
      </c>
      <c r="AS607" t="s">
        <v>7654</v>
      </c>
      <c r="AT607" t="s">
        <v>8496</v>
      </c>
      <c r="AU607">
        <v>2004</v>
      </c>
      <c r="AV607">
        <v>42</v>
      </c>
      <c r="AW607" t="s">
        <v>595</v>
      </c>
      <c r="AX607" t="s">
        <v>74</v>
      </c>
      <c r="AY607" t="s">
        <v>74</v>
      </c>
      <c r="AZ607" t="s">
        <v>74</v>
      </c>
      <c r="BA607" t="s">
        <v>74</v>
      </c>
      <c r="BB607">
        <v>107</v>
      </c>
      <c r="BC607">
        <v>132</v>
      </c>
      <c r="BD607" t="s">
        <v>74</v>
      </c>
      <c r="BE607" t="s">
        <v>8943</v>
      </c>
      <c r="BF607" t="str">
        <f>HYPERLINK("http://dx.doi.org/10.1016/j.gloplacha.2003.11.004","http://dx.doi.org/10.1016/j.gloplacha.2003.11.004")</f>
        <v>http://dx.doi.org/10.1016/j.gloplacha.2003.11.004</v>
      </c>
      <c r="BG607" t="s">
        <v>74</v>
      </c>
      <c r="BH607" t="s">
        <v>74</v>
      </c>
      <c r="BI607">
        <v>26</v>
      </c>
      <c r="BJ607" t="s">
        <v>3767</v>
      </c>
      <c r="BK607" t="s">
        <v>139</v>
      </c>
      <c r="BL607" t="s">
        <v>3768</v>
      </c>
      <c r="BM607" t="s">
        <v>8875</v>
      </c>
      <c r="BN607" t="s">
        <v>74</v>
      </c>
      <c r="BO607" t="s">
        <v>329</v>
      </c>
      <c r="BP607" t="s">
        <v>74</v>
      </c>
      <c r="BQ607" t="s">
        <v>74</v>
      </c>
      <c r="BR607" t="s">
        <v>98</v>
      </c>
      <c r="BS607" t="s">
        <v>8944</v>
      </c>
      <c r="BT607" t="str">
        <f>HYPERLINK("https%3A%2F%2Fwww.webofscience.com%2Fwos%2Fwoscc%2Ffull-record%2FWOS:000223234800008","View Full Record in Web of Science")</f>
        <v>View Full Record in Web of Science</v>
      </c>
    </row>
    <row r="608" spans="1:72" x14ac:dyDescent="0.15">
      <c r="A608" t="s">
        <v>122</v>
      </c>
      <c r="B608" t="s">
        <v>8945</v>
      </c>
      <c r="C608" t="s">
        <v>74</v>
      </c>
      <c r="D608" t="s">
        <v>74</v>
      </c>
      <c r="E608" t="s">
        <v>74</v>
      </c>
      <c r="F608" t="s">
        <v>8945</v>
      </c>
      <c r="G608" t="s">
        <v>74</v>
      </c>
      <c r="H608" t="s">
        <v>74</v>
      </c>
      <c r="I608" t="s">
        <v>8946</v>
      </c>
      <c r="J608" t="s">
        <v>7640</v>
      </c>
      <c r="K608" t="s">
        <v>74</v>
      </c>
      <c r="L608" t="s">
        <v>74</v>
      </c>
      <c r="M608" t="s">
        <v>79</v>
      </c>
      <c r="N608" t="s">
        <v>126</v>
      </c>
      <c r="O608" t="s">
        <v>74</v>
      </c>
      <c r="P608" t="s">
        <v>74</v>
      </c>
      <c r="Q608" t="s">
        <v>74</v>
      </c>
      <c r="R608" t="s">
        <v>74</v>
      </c>
      <c r="S608" t="s">
        <v>74</v>
      </c>
      <c r="T608" t="s">
        <v>8947</v>
      </c>
      <c r="U608" t="s">
        <v>8948</v>
      </c>
      <c r="V608" t="s">
        <v>8949</v>
      </c>
      <c r="W608" t="s">
        <v>8950</v>
      </c>
      <c r="X608" t="s">
        <v>8951</v>
      </c>
      <c r="Y608" t="s">
        <v>8952</v>
      </c>
      <c r="Z608" t="s">
        <v>8953</v>
      </c>
      <c r="AA608" t="s">
        <v>8954</v>
      </c>
      <c r="AB608" t="s">
        <v>8955</v>
      </c>
      <c r="AC608" t="s">
        <v>74</v>
      </c>
      <c r="AD608" t="s">
        <v>74</v>
      </c>
      <c r="AE608" t="s">
        <v>74</v>
      </c>
      <c r="AF608" t="s">
        <v>74</v>
      </c>
      <c r="AG608">
        <v>15</v>
      </c>
      <c r="AH608">
        <v>2</v>
      </c>
      <c r="AI608">
        <v>3</v>
      </c>
      <c r="AJ608">
        <v>0</v>
      </c>
      <c r="AK608">
        <v>1</v>
      </c>
      <c r="AL608" t="s">
        <v>562</v>
      </c>
      <c r="AM608" t="s">
        <v>532</v>
      </c>
      <c r="AN608" t="s">
        <v>563</v>
      </c>
      <c r="AO608" t="s">
        <v>7651</v>
      </c>
      <c r="AP608" t="s">
        <v>74</v>
      </c>
      <c r="AQ608" t="s">
        <v>74</v>
      </c>
      <c r="AR608" t="s">
        <v>7653</v>
      </c>
      <c r="AS608" t="s">
        <v>7654</v>
      </c>
      <c r="AT608" t="s">
        <v>8496</v>
      </c>
      <c r="AU608">
        <v>2004</v>
      </c>
      <c r="AV608">
        <v>42</v>
      </c>
      <c r="AW608" t="s">
        <v>595</v>
      </c>
      <c r="AX608" t="s">
        <v>74</v>
      </c>
      <c r="AY608" t="s">
        <v>74</v>
      </c>
      <c r="AZ608" t="s">
        <v>74</v>
      </c>
      <c r="BA608" t="s">
        <v>74</v>
      </c>
      <c r="BB608">
        <v>133</v>
      </c>
      <c r="BC608">
        <v>142</v>
      </c>
      <c r="BD608" t="s">
        <v>74</v>
      </c>
      <c r="BE608" t="s">
        <v>8956</v>
      </c>
      <c r="BF608" t="str">
        <f>HYPERLINK("http://dx.doi.org/10.1016/j.gloplacha.2003.11.005","http://dx.doi.org/10.1016/j.gloplacha.2003.11.005")</f>
        <v>http://dx.doi.org/10.1016/j.gloplacha.2003.11.005</v>
      </c>
      <c r="BG608" t="s">
        <v>74</v>
      </c>
      <c r="BH608" t="s">
        <v>74</v>
      </c>
      <c r="BI608">
        <v>10</v>
      </c>
      <c r="BJ608" t="s">
        <v>3767</v>
      </c>
      <c r="BK608" t="s">
        <v>139</v>
      </c>
      <c r="BL608" t="s">
        <v>3768</v>
      </c>
      <c r="BM608" t="s">
        <v>8875</v>
      </c>
      <c r="BN608" t="s">
        <v>74</v>
      </c>
      <c r="BO608" t="s">
        <v>74</v>
      </c>
      <c r="BP608" t="s">
        <v>74</v>
      </c>
      <c r="BQ608" t="s">
        <v>74</v>
      </c>
      <c r="BR608" t="s">
        <v>98</v>
      </c>
      <c r="BS608" t="s">
        <v>8957</v>
      </c>
      <c r="BT608" t="str">
        <f>HYPERLINK("https%3A%2F%2Fwww.webofscience.com%2Fwos%2Fwoscc%2Ffull-record%2FWOS:000223234800009","View Full Record in Web of Science")</f>
        <v>View Full Record in Web of Science</v>
      </c>
    </row>
    <row r="609" spans="1:72" x14ac:dyDescent="0.15">
      <c r="A609" t="s">
        <v>122</v>
      </c>
      <c r="B609" t="s">
        <v>8958</v>
      </c>
      <c r="C609" t="s">
        <v>74</v>
      </c>
      <c r="D609" t="s">
        <v>74</v>
      </c>
      <c r="E609" t="s">
        <v>74</v>
      </c>
      <c r="F609" t="s">
        <v>8958</v>
      </c>
      <c r="G609" t="s">
        <v>74</v>
      </c>
      <c r="H609" t="s">
        <v>74</v>
      </c>
      <c r="I609" t="s">
        <v>8959</v>
      </c>
      <c r="J609" t="s">
        <v>7640</v>
      </c>
      <c r="K609" t="s">
        <v>74</v>
      </c>
      <c r="L609" t="s">
        <v>74</v>
      </c>
      <c r="M609" t="s">
        <v>79</v>
      </c>
      <c r="N609" t="s">
        <v>126</v>
      </c>
      <c r="O609" t="s">
        <v>74</v>
      </c>
      <c r="P609" t="s">
        <v>74</v>
      </c>
      <c r="Q609" t="s">
        <v>74</v>
      </c>
      <c r="R609" t="s">
        <v>74</v>
      </c>
      <c r="S609" t="s">
        <v>74</v>
      </c>
      <c r="T609" t="s">
        <v>8960</v>
      </c>
      <c r="U609" t="s">
        <v>8961</v>
      </c>
      <c r="V609" t="s">
        <v>8962</v>
      </c>
      <c r="W609" t="s">
        <v>8963</v>
      </c>
      <c r="X609" t="s">
        <v>8964</v>
      </c>
      <c r="Y609" t="s">
        <v>8965</v>
      </c>
      <c r="Z609" t="s">
        <v>8966</v>
      </c>
      <c r="AA609" t="s">
        <v>8967</v>
      </c>
      <c r="AB609" t="s">
        <v>8968</v>
      </c>
      <c r="AC609" t="s">
        <v>74</v>
      </c>
      <c r="AD609" t="s">
        <v>74</v>
      </c>
      <c r="AE609" t="s">
        <v>74</v>
      </c>
      <c r="AF609" t="s">
        <v>74</v>
      </c>
      <c r="AG609">
        <v>16</v>
      </c>
      <c r="AH609">
        <v>19</v>
      </c>
      <c r="AI609">
        <v>23</v>
      </c>
      <c r="AJ609">
        <v>0</v>
      </c>
      <c r="AK609">
        <v>4</v>
      </c>
      <c r="AL609" t="s">
        <v>562</v>
      </c>
      <c r="AM609" t="s">
        <v>532</v>
      </c>
      <c r="AN609" t="s">
        <v>563</v>
      </c>
      <c r="AO609" t="s">
        <v>7651</v>
      </c>
      <c r="AP609" t="s">
        <v>7652</v>
      </c>
      <c r="AQ609" t="s">
        <v>74</v>
      </c>
      <c r="AR609" t="s">
        <v>7653</v>
      </c>
      <c r="AS609" t="s">
        <v>7654</v>
      </c>
      <c r="AT609" t="s">
        <v>8496</v>
      </c>
      <c r="AU609">
        <v>2004</v>
      </c>
      <c r="AV609">
        <v>42</v>
      </c>
      <c r="AW609" t="s">
        <v>595</v>
      </c>
      <c r="AX609" t="s">
        <v>74</v>
      </c>
      <c r="AY609" t="s">
        <v>74</v>
      </c>
      <c r="AZ609" t="s">
        <v>74</v>
      </c>
      <c r="BA609" t="s">
        <v>74</v>
      </c>
      <c r="BB609">
        <v>143</v>
      </c>
      <c r="BC609">
        <v>153</v>
      </c>
      <c r="BD609" t="s">
        <v>74</v>
      </c>
      <c r="BE609" t="s">
        <v>8969</v>
      </c>
      <c r="BF609" t="str">
        <f>HYPERLINK("http://dx.doi.org/10.1016/j.gloplacha.2003.11.006","http://dx.doi.org/10.1016/j.gloplacha.2003.11.006")</f>
        <v>http://dx.doi.org/10.1016/j.gloplacha.2003.11.006</v>
      </c>
      <c r="BG609" t="s">
        <v>74</v>
      </c>
      <c r="BH609" t="s">
        <v>74</v>
      </c>
      <c r="BI609">
        <v>11</v>
      </c>
      <c r="BJ609" t="s">
        <v>3767</v>
      </c>
      <c r="BK609" t="s">
        <v>139</v>
      </c>
      <c r="BL609" t="s">
        <v>3768</v>
      </c>
      <c r="BM609" t="s">
        <v>8875</v>
      </c>
      <c r="BN609" t="s">
        <v>74</v>
      </c>
      <c r="BO609" t="s">
        <v>74</v>
      </c>
      <c r="BP609" t="s">
        <v>74</v>
      </c>
      <c r="BQ609" t="s">
        <v>74</v>
      </c>
      <c r="BR609" t="s">
        <v>98</v>
      </c>
      <c r="BS609" t="s">
        <v>8970</v>
      </c>
      <c r="BT609" t="str">
        <f>HYPERLINK("https%3A%2F%2Fwww.webofscience.com%2Fwos%2Fwoscc%2Ffull-record%2FWOS:000223234800010","View Full Record in Web of Science")</f>
        <v>View Full Record in Web of Science</v>
      </c>
    </row>
    <row r="610" spans="1:72" x14ac:dyDescent="0.15">
      <c r="A610" t="s">
        <v>122</v>
      </c>
      <c r="B610" t="s">
        <v>8971</v>
      </c>
      <c r="C610" t="s">
        <v>74</v>
      </c>
      <c r="D610" t="s">
        <v>74</v>
      </c>
      <c r="E610" t="s">
        <v>74</v>
      </c>
      <c r="F610" t="s">
        <v>8971</v>
      </c>
      <c r="G610" t="s">
        <v>74</v>
      </c>
      <c r="H610" t="s">
        <v>74</v>
      </c>
      <c r="I610" t="s">
        <v>8972</v>
      </c>
      <c r="J610" t="s">
        <v>7640</v>
      </c>
      <c r="K610" t="s">
        <v>74</v>
      </c>
      <c r="L610" t="s">
        <v>74</v>
      </c>
      <c r="M610" t="s">
        <v>79</v>
      </c>
      <c r="N610" t="s">
        <v>126</v>
      </c>
      <c r="O610" t="s">
        <v>74</v>
      </c>
      <c r="P610" t="s">
        <v>74</v>
      </c>
      <c r="Q610" t="s">
        <v>74</v>
      </c>
      <c r="R610" t="s">
        <v>74</v>
      </c>
      <c r="S610" t="s">
        <v>74</v>
      </c>
      <c r="T610" t="s">
        <v>8973</v>
      </c>
      <c r="U610" t="s">
        <v>8974</v>
      </c>
      <c r="V610" t="s">
        <v>8975</v>
      </c>
      <c r="W610" t="s">
        <v>8976</v>
      </c>
      <c r="X610" t="s">
        <v>8977</v>
      </c>
      <c r="Y610" t="s">
        <v>419</v>
      </c>
      <c r="Z610" t="s">
        <v>8978</v>
      </c>
      <c r="AA610" t="s">
        <v>8979</v>
      </c>
      <c r="AB610" t="s">
        <v>8980</v>
      </c>
      <c r="AC610" t="s">
        <v>74</v>
      </c>
      <c r="AD610" t="s">
        <v>74</v>
      </c>
      <c r="AE610" t="s">
        <v>74</v>
      </c>
      <c r="AF610" t="s">
        <v>74</v>
      </c>
      <c r="AG610">
        <v>36</v>
      </c>
      <c r="AH610">
        <v>104</v>
      </c>
      <c r="AI610">
        <v>117</v>
      </c>
      <c r="AJ610">
        <v>0</v>
      </c>
      <c r="AK610">
        <v>15</v>
      </c>
      <c r="AL610" t="s">
        <v>562</v>
      </c>
      <c r="AM610" t="s">
        <v>532</v>
      </c>
      <c r="AN610" t="s">
        <v>563</v>
      </c>
      <c r="AO610" t="s">
        <v>7651</v>
      </c>
      <c r="AP610" t="s">
        <v>7652</v>
      </c>
      <c r="AQ610" t="s">
        <v>74</v>
      </c>
      <c r="AR610" t="s">
        <v>7653</v>
      </c>
      <c r="AS610" t="s">
        <v>7654</v>
      </c>
      <c r="AT610" t="s">
        <v>8496</v>
      </c>
      <c r="AU610">
        <v>2004</v>
      </c>
      <c r="AV610">
        <v>42</v>
      </c>
      <c r="AW610" t="s">
        <v>595</v>
      </c>
      <c r="AX610" t="s">
        <v>74</v>
      </c>
      <c r="AY610" t="s">
        <v>74</v>
      </c>
      <c r="AZ610" t="s">
        <v>74</v>
      </c>
      <c r="BA610" t="s">
        <v>74</v>
      </c>
      <c r="BB610">
        <v>155</v>
      </c>
      <c r="BC610">
        <v>165</v>
      </c>
      <c r="BD610" t="s">
        <v>74</v>
      </c>
      <c r="BE610" t="s">
        <v>8981</v>
      </c>
      <c r="BF610" t="str">
        <f>HYPERLINK("http://dx.doi.org/10.1016/j.gloplacha.2003.12.005","http://dx.doi.org/10.1016/j.gloplacha.2003.12.005")</f>
        <v>http://dx.doi.org/10.1016/j.gloplacha.2003.12.005</v>
      </c>
      <c r="BG610" t="s">
        <v>74</v>
      </c>
      <c r="BH610" t="s">
        <v>74</v>
      </c>
      <c r="BI610">
        <v>11</v>
      </c>
      <c r="BJ610" t="s">
        <v>3767</v>
      </c>
      <c r="BK610" t="s">
        <v>139</v>
      </c>
      <c r="BL610" t="s">
        <v>3768</v>
      </c>
      <c r="BM610" t="s">
        <v>8875</v>
      </c>
      <c r="BN610" t="s">
        <v>74</v>
      </c>
      <c r="BO610" t="s">
        <v>74</v>
      </c>
      <c r="BP610" t="s">
        <v>74</v>
      </c>
      <c r="BQ610" t="s">
        <v>74</v>
      </c>
      <c r="BR610" t="s">
        <v>98</v>
      </c>
      <c r="BS610" t="s">
        <v>8982</v>
      </c>
      <c r="BT610" t="str">
        <f>HYPERLINK("https%3A%2F%2Fwww.webofscience.com%2Fwos%2Fwoscc%2Ffull-record%2FWOS:000223234800011","View Full Record in Web of Science")</f>
        <v>View Full Record in Web of Science</v>
      </c>
    </row>
    <row r="611" spans="1:72" x14ac:dyDescent="0.15">
      <c r="A611" t="s">
        <v>122</v>
      </c>
      <c r="B611" t="s">
        <v>8983</v>
      </c>
      <c r="C611" t="s">
        <v>74</v>
      </c>
      <c r="D611" t="s">
        <v>74</v>
      </c>
      <c r="E611" t="s">
        <v>74</v>
      </c>
      <c r="F611" t="s">
        <v>8983</v>
      </c>
      <c r="G611" t="s">
        <v>74</v>
      </c>
      <c r="H611" t="s">
        <v>74</v>
      </c>
      <c r="I611" t="s">
        <v>8984</v>
      </c>
      <c r="J611" t="s">
        <v>7640</v>
      </c>
      <c r="K611" t="s">
        <v>74</v>
      </c>
      <c r="L611" t="s">
        <v>74</v>
      </c>
      <c r="M611" t="s">
        <v>79</v>
      </c>
      <c r="N611" t="s">
        <v>126</v>
      </c>
      <c r="O611" t="s">
        <v>74</v>
      </c>
      <c r="P611" t="s">
        <v>74</v>
      </c>
      <c r="Q611" t="s">
        <v>74</v>
      </c>
      <c r="R611" t="s">
        <v>74</v>
      </c>
      <c r="S611" t="s">
        <v>74</v>
      </c>
      <c r="T611" t="s">
        <v>8985</v>
      </c>
      <c r="U611" t="s">
        <v>8986</v>
      </c>
      <c r="V611" t="s">
        <v>8987</v>
      </c>
      <c r="W611" t="s">
        <v>8988</v>
      </c>
      <c r="X611" t="s">
        <v>8989</v>
      </c>
      <c r="Y611" t="s">
        <v>3217</v>
      </c>
      <c r="Z611" t="s">
        <v>8990</v>
      </c>
      <c r="AA611" t="s">
        <v>8991</v>
      </c>
      <c r="AB611" t="s">
        <v>3220</v>
      </c>
      <c r="AC611" t="s">
        <v>74</v>
      </c>
      <c r="AD611" t="s">
        <v>74</v>
      </c>
      <c r="AE611" t="s">
        <v>74</v>
      </c>
      <c r="AF611" t="s">
        <v>74</v>
      </c>
      <c r="AG611">
        <v>36</v>
      </c>
      <c r="AH611">
        <v>42</v>
      </c>
      <c r="AI611">
        <v>57</v>
      </c>
      <c r="AJ611">
        <v>0</v>
      </c>
      <c r="AK611">
        <v>20</v>
      </c>
      <c r="AL611" t="s">
        <v>531</v>
      </c>
      <c r="AM611" t="s">
        <v>532</v>
      </c>
      <c r="AN611" t="s">
        <v>533</v>
      </c>
      <c r="AO611" t="s">
        <v>7651</v>
      </c>
      <c r="AP611" t="s">
        <v>7652</v>
      </c>
      <c r="AQ611" t="s">
        <v>74</v>
      </c>
      <c r="AR611" t="s">
        <v>7653</v>
      </c>
      <c r="AS611" t="s">
        <v>7654</v>
      </c>
      <c r="AT611" t="s">
        <v>8496</v>
      </c>
      <c r="AU611">
        <v>2004</v>
      </c>
      <c r="AV611">
        <v>42</v>
      </c>
      <c r="AW611" t="s">
        <v>595</v>
      </c>
      <c r="AX611" t="s">
        <v>74</v>
      </c>
      <c r="AY611" t="s">
        <v>74</v>
      </c>
      <c r="AZ611" t="s">
        <v>74</v>
      </c>
      <c r="BA611" t="s">
        <v>74</v>
      </c>
      <c r="BB611">
        <v>167</v>
      </c>
      <c r="BC611">
        <v>176</v>
      </c>
      <c r="BD611" t="s">
        <v>74</v>
      </c>
      <c r="BE611" t="s">
        <v>8992</v>
      </c>
      <c r="BF611" t="str">
        <f>HYPERLINK("http://dx.doi.org/10.1016/j.gloplacha.2003.10.005","http://dx.doi.org/10.1016/j.gloplacha.2003.10.005")</f>
        <v>http://dx.doi.org/10.1016/j.gloplacha.2003.10.005</v>
      </c>
      <c r="BG611" t="s">
        <v>74</v>
      </c>
      <c r="BH611" t="s">
        <v>74</v>
      </c>
      <c r="BI611">
        <v>10</v>
      </c>
      <c r="BJ611" t="s">
        <v>3767</v>
      </c>
      <c r="BK611" t="s">
        <v>139</v>
      </c>
      <c r="BL611" t="s">
        <v>3768</v>
      </c>
      <c r="BM611" t="s">
        <v>8875</v>
      </c>
      <c r="BN611" t="s">
        <v>74</v>
      </c>
      <c r="BO611" t="s">
        <v>74</v>
      </c>
      <c r="BP611" t="s">
        <v>74</v>
      </c>
      <c r="BQ611" t="s">
        <v>74</v>
      </c>
      <c r="BR611" t="s">
        <v>98</v>
      </c>
      <c r="BS611" t="s">
        <v>8993</v>
      </c>
      <c r="BT611" t="str">
        <f>HYPERLINK("https%3A%2F%2Fwww.webofscience.com%2Fwos%2Fwoscc%2Ffull-record%2FWOS:000223234800012","View Full Record in Web of Science")</f>
        <v>View Full Record in Web of Science</v>
      </c>
    </row>
    <row r="612" spans="1:72" x14ac:dyDescent="0.15">
      <c r="A612" t="s">
        <v>122</v>
      </c>
      <c r="B612" t="s">
        <v>8994</v>
      </c>
      <c r="C612" t="s">
        <v>74</v>
      </c>
      <c r="D612" t="s">
        <v>74</v>
      </c>
      <c r="E612" t="s">
        <v>74</v>
      </c>
      <c r="F612" t="s">
        <v>8994</v>
      </c>
      <c r="G612" t="s">
        <v>74</v>
      </c>
      <c r="H612" t="s">
        <v>74</v>
      </c>
      <c r="I612" t="s">
        <v>8995</v>
      </c>
      <c r="J612" t="s">
        <v>7640</v>
      </c>
      <c r="K612" t="s">
        <v>74</v>
      </c>
      <c r="L612" t="s">
        <v>74</v>
      </c>
      <c r="M612" t="s">
        <v>79</v>
      </c>
      <c r="N612" t="s">
        <v>126</v>
      </c>
      <c r="O612" t="s">
        <v>74</v>
      </c>
      <c r="P612" t="s">
        <v>74</v>
      </c>
      <c r="Q612" t="s">
        <v>74</v>
      </c>
      <c r="R612" t="s">
        <v>74</v>
      </c>
      <c r="S612" t="s">
        <v>74</v>
      </c>
      <c r="T612" t="s">
        <v>8996</v>
      </c>
      <c r="U612" t="s">
        <v>8997</v>
      </c>
      <c r="V612" t="s">
        <v>8998</v>
      </c>
      <c r="W612" t="s">
        <v>8999</v>
      </c>
      <c r="X612" t="s">
        <v>9000</v>
      </c>
      <c r="Y612" t="s">
        <v>9001</v>
      </c>
      <c r="Z612" t="s">
        <v>9002</v>
      </c>
      <c r="AA612" t="s">
        <v>9003</v>
      </c>
      <c r="AB612" t="s">
        <v>74</v>
      </c>
      <c r="AC612" t="s">
        <v>74</v>
      </c>
      <c r="AD612" t="s">
        <v>74</v>
      </c>
      <c r="AE612" t="s">
        <v>74</v>
      </c>
      <c r="AF612" t="s">
        <v>74</v>
      </c>
      <c r="AG612">
        <v>44</v>
      </c>
      <c r="AH612">
        <v>26</v>
      </c>
      <c r="AI612">
        <v>28</v>
      </c>
      <c r="AJ612">
        <v>0</v>
      </c>
      <c r="AK612">
        <v>3</v>
      </c>
      <c r="AL612" t="s">
        <v>531</v>
      </c>
      <c r="AM612" t="s">
        <v>532</v>
      </c>
      <c r="AN612" t="s">
        <v>533</v>
      </c>
      <c r="AO612" t="s">
        <v>7651</v>
      </c>
      <c r="AP612" t="s">
        <v>7652</v>
      </c>
      <c r="AQ612" t="s">
        <v>74</v>
      </c>
      <c r="AR612" t="s">
        <v>7653</v>
      </c>
      <c r="AS612" t="s">
        <v>7654</v>
      </c>
      <c r="AT612" t="s">
        <v>8496</v>
      </c>
      <c r="AU612">
        <v>2004</v>
      </c>
      <c r="AV612">
        <v>42</v>
      </c>
      <c r="AW612" t="s">
        <v>595</v>
      </c>
      <c r="AX612" t="s">
        <v>74</v>
      </c>
      <c r="AY612" t="s">
        <v>74</v>
      </c>
      <c r="AZ612" t="s">
        <v>74</v>
      </c>
      <c r="BA612" t="s">
        <v>74</v>
      </c>
      <c r="BB612">
        <v>177</v>
      </c>
      <c r="BC612">
        <v>193</v>
      </c>
      <c r="BD612" t="s">
        <v>74</v>
      </c>
      <c r="BE612" t="s">
        <v>9004</v>
      </c>
      <c r="BF612" t="str">
        <f>HYPERLINK("http://dx.doi.org/10.1016/j.gloplacha.2003.10.006","http://dx.doi.org/10.1016/j.gloplacha.2003.10.006")</f>
        <v>http://dx.doi.org/10.1016/j.gloplacha.2003.10.006</v>
      </c>
      <c r="BG612" t="s">
        <v>74</v>
      </c>
      <c r="BH612" t="s">
        <v>74</v>
      </c>
      <c r="BI612">
        <v>17</v>
      </c>
      <c r="BJ612" t="s">
        <v>3767</v>
      </c>
      <c r="BK612" t="s">
        <v>139</v>
      </c>
      <c r="BL612" t="s">
        <v>3768</v>
      </c>
      <c r="BM612" t="s">
        <v>8875</v>
      </c>
      <c r="BN612" t="s">
        <v>74</v>
      </c>
      <c r="BO612" t="s">
        <v>74</v>
      </c>
      <c r="BP612" t="s">
        <v>74</v>
      </c>
      <c r="BQ612" t="s">
        <v>74</v>
      </c>
      <c r="BR612" t="s">
        <v>98</v>
      </c>
      <c r="BS612" t="s">
        <v>9005</v>
      </c>
      <c r="BT612" t="str">
        <f>HYPERLINK("https%3A%2F%2Fwww.webofscience.com%2Fwos%2Fwoscc%2Ffull-record%2FWOS:000223234800013","View Full Record in Web of Science")</f>
        <v>View Full Record in Web of Science</v>
      </c>
    </row>
    <row r="613" spans="1:72" x14ac:dyDescent="0.15">
      <c r="A613" t="s">
        <v>122</v>
      </c>
      <c r="B613" t="s">
        <v>9006</v>
      </c>
      <c r="C613" t="s">
        <v>74</v>
      </c>
      <c r="D613" t="s">
        <v>74</v>
      </c>
      <c r="E613" t="s">
        <v>74</v>
      </c>
      <c r="F613" t="s">
        <v>9006</v>
      </c>
      <c r="G613" t="s">
        <v>74</v>
      </c>
      <c r="H613" t="s">
        <v>74</v>
      </c>
      <c r="I613" t="s">
        <v>9007</v>
      </c>
      <c r="J613" t="s">
        <v>7640</v>
      </c>
      <c r="K613" t="s">
        <v>74</v>
      </c>
      <c r="L613" t="s">
        <v>74</v>
      </c>
      <c r="M613" t="s">
        <v>79</v>
      </c>
      <c r="N613" t="s">
        <v>126</v>
      </c>
      <c r="O613" t="s">
        <v>74</v>
      </c>
      <c r="P613" t="s">
        <v>74</v>
      </c>
      <c r="Q613" t="s">
        <v>74</v>
      </c>
      <c r="R613" t="s">
        <v>74</v>
      </c>
      <c r="S613" t="s">
        <v>74</v>
      </c>
      <c r="T613" t="s">
        <v>9008</v>
      </c>
      <c r="U613" t="s">
        <v>9009</v>
      </c>
      <c r="V613" t="s">
        <v>9010</v>
      </c>
      <c r="W613" t="s">
        <v>9011</v>
      </c>
      <c r="X613" t="s">
        <v>9012</v>
      </c>
      <c r="Y613" t="s">
        <v>9013</v>
      </c>
      <c r="Z613" t="s">
        <v>9014</v>
      </c>
      <c r="AA613" t="s">
        <v>9015</v>
      </c>
      <c r="AB613" t="s">
        <v>9016</v>
      </c>
      <c r="AC613" t="s">
        <v>74</v>
      </c>
      <c r="AD613" t="s">
        <v>74</v>
      </c>
      <c r="AE613" t="s">
        <v>74</v>
      </c>
      <c r="AF613" t="s">
        <v>74</v>
      </c>
      <c r="AG613">
        <v>30</v>
      </c>
      <c r="AH613">
        <v>51</v>
      </c>
      <c r="AI613">
        <v>57</v>
      </c>
      <c r="AJ613">
        <v>0</v>
      </c>
      <c r="AK613">
        <v>19</v>
      </c>
      <c r="AL613" t="s">
        <v>531</v>
      </c>
      <c r="AM613" t="s">
        <v>532</v>
      </c>
      <c r="AN613" t="s">
        <v>533</v>
      </c>
      <c r="AO613" t="s">
        <v>7651</v>
      </c>
      <c r="AP613" t="s">
        <v>7652</v>
      </c>
      <c r="AQ613" t="s">
        <v>74</v>
      </c>
      <c r="AR613" t="s">
        <v>7653</v>
      </c>
      <c r="AS613" t="s">
        <v>7654</v>
      </c>
      <c r="AT613" t="s">
        <v>8496</v>
      </c>
      <c r="AU613">
        <v>2004</v>
      </c>
      <c r="AV613">
        <v>42</v>
      </c>
      <c r="AW613" t="s">
        <v>595</v>
      </c>
      <c r="AX613" t="s">
        <v>74</v>
      </c>
      <c r="AY613" t="s">
        <v>74</v>
      </c>
      <c r="AZ613" t="s">
        <v>74</v>
      </c>
      <c r="BA613" t="s">
        <v>74</v>
      </c>
      <c r="BB613">
        <v>195</v>
      </c>
      <c r="BC613">
        <v>205</v>
      </c>
      <c r="BD613" t="s">
        <v>74</v>
      </c>
      <c r="BE613" t="s">
        <v>9017</v>
      </c>
      <c r="BF613" t="str">
        <f>HYPERLINK("http://dx.doi.org/10.1016/j.gloplacha.2003.11.007","http://dx.doi.org/10.1016/j.gloplacha.2003.11.007")</f>
        <v>http://dx.doi.org/10.1016/j.gloplacha.2003.11.007</v>
      </c>
      <c r="BG613" t="s">
        <v>74</v>
      </c>
      <c r="BH613" t="s">
        <v>74</v>
      </c>
      <c r="BI613">
        <v>11</v>
      </c>
      <c r="BJ613" t="s">
        <v>3767</v>
      </c>
      <c r="BK613" t="s">
        <v>139</v>
      </c>
      <c r="BL613" t="s">
        <v>3768</v>
      </c>
      <c r="BM613" t="s">
        <v>8875</v>
      </c>
      <c r="BN613" t="s">
        <v>74</v>
      </c>
      <c r="BO613" t="s">
        <v>74</v>
      </c>
      <c r="BP613" t="s">
        <v>74</v>
      </c>
      <c r="BQ613" t="s">
        <v>74</v>
      </c>
      <c r="BR613" t="s">
        <v>98</v>
      </c>
      <c r="BS613" t="s">
        <v>9018</v>
      </c>
      <c r="BT613" t="str">
        <f>HYPERLINK("https%3A%2F%2Fwww.webofscience.com%2Fwos%2Fwoscc%2Ffull-record%2FWOS:000223234800014","View Full Record in Web of Science")</f>
        <v>View Full Record in Web of Science</v>
      </c>
    </row>
    <row r="614" spans="1:72" x14ac:dyDescent="0.15">
      <c r="A614" t="s">
        <v>122</v>
      </c>
      <c r="B614" t="s">
        <v>9019</v>
      </c>
      <c r="C614" t="s">
        <v>74</v>
      </c>
      <c r="D614" t="s">
        <v>74</v>
      </c>
      <c r="E614" t="s">
        <v>74</v>
      </c>
      <c r="F614" t="s">
        <v>9019</v>
      </c>
      <c r="G614" t="s">
        <v>74</v>
      </c>
      <c r="H614" t="s">
        <v>74</v>
      </c>
      <c r="I614" t="s">
        <v>9020</v>
      </c>
      <c r="J614" t="s">
        <v>7640</v>
      </c>
      <c r="K614" t="s">
        <v>74</v>
      </c>
      <c r="L614" t="s">
        <v>74</v>
      </c>
      <c r="M614" t="s">
        <v>79</v>
      </c>
      <c r="N614" t="s">
        <v>126</v>
      </c>
      <c r="O614" t="s">
        <v>74</v>
      </c>
      <c r="P614" t="s">
        <v>74</v>
      </c>
      <c r="Q614" t="s">
        <v>74</v>
      </c>
      <c r="R614" t="s">
        <v>74</v>
      </c>
      <c r="S614" t="s">
        <v>74</v>
      </c>
      <c r="T614" t="s">
        <v>9021</v>
      </c>
      <c r="U614" t="s">
        <v>9022</v>
      </c>
      <c r="V614" t="s">
        <v>9023</v>
      </c>
      <c r="W614" t="s">
        <v>9024</v>
      </c>
      <c r="X614" t="s">
        <v>9025</v>
      </c>
      <c r="Y614" t="s">
        <v>9026</v>
      </c>
      <c r="Z614" t="s">
        <v>9027</v>
      </c>
      <c r="AA614" t="s">
        <v>74</v>
      </c>
      <c r="AB614" t="s">
        <v>74</v>
      </c>
      <c r="AC614" t="s">
        <v>74</v>
      </c>
      <c r="AD614" t="s">
        <v>74</v>
      </c>
      <c r="AE614" t="s">
        <v>74</v>
      </c>
      <c r="AF614" t="s">
        <v>74</v>
      </c>
      <c r="AG614">
        <v>39</v>
      </c>
      <c r="AH614">
        <v>6</v>
      </c>
      <c r="AI614">
        <v>6</v>
      </c>
      <c r="AJ614">
        <v>0</v>
      </c>
      <c r="AK614">
        <v>5</v>
      </c>
      <c r="AL614" t="s">
        <v>562</v>
      </c>
      <c r="AM614" t="s">
        <v>532</v>
      </c>
      <c r="AN614" t="s">
        <v>563</v>
      </c>
      <c r="AO614" t="s">
        <v>7651</v>
      </c>
      <c r="AP614" t="s">
        <v>74</v>
      </c>
      <c r="AQ614" t="s">
        <v>74</v>
      </c>
      <c r="AR614" t="s">
        <v>7653</v>
      </c>
      <c r="AS614" t="s">
        <v>7654</v>
      </c>
      <c r="AT614" t="s">
        <v>8496</v>
      </c>
      <c r="AU614">
        <v>2004</v>
      </c>
      <c r="AV614">
        <v>42</v>
      </c>
      <c r="AW614" t="s">
        <v>595</v>
      </c>
      <c r="AX614" t="s">
        <v>74</v>
      </c>
      <c r="AY614" t="s">
        <v>74</v>
      </c>
      <c r="AZ614" t="s">
        <v>74</v>
      </c>
      <c r="BA614" t="s">
        <v>74</v>
      </c>
      <c r="BB614">
        <v>227</v>
      </c>
      <c r="BC614">
        <v>240</v>
      </c>
      <c r="BD614" t="s">
        <v>74</v>
      </c>
      <c r="BE614" t="s">
        <v>9028</v>
      </c>
      <c r="BF614" t="str">
        <f>HYPERLINK("http://dx.doi.org/10.1016/j.gloplacha.2003.12.004","http://dx.doi.org/10.1016/j.gloplacha.2003.12.004")</f>
        <v>http://dx.doi.org/10.1016/j.gloplacha.2003.12.004</v>
      </c>
      <c r="BG614" t="s">
        <v>74</v>
      </c>
      <c r="BH614" t="s">
        <v>74</v>
      </c>
      <c r="BI614">
        <v>14</v>
      </c>
      <c r="BJ614" t="s">
        <v>3767</v>
      </c>
      <c r="BK614" t="s">
        <v>139</v>
      </c>
      <c r="BL614" t="s">
        <v>3768</v>
      </c>
      <c r="BM614" t="s">
        <v>8875</v>
      </c>
      <c r="BN614" t="s">
        <v>74</v>
      </c>
      <c r="BO614" t="s">
        <v>74</v>
      </c>
      <c r="BP614" t="s">
        <v>74</v>
      </c>
      <c r="BQ614" t="s">
        <v>74</v>
      </c>
      <c r="BR614" t="s">
        <v>98</v>
      </c>
      <c r="BS614" t="s">
        <v>9029</v>
      </c>
      <c r="BT614" t="str">
        <f>HYPERLINK("https%3A%2F%2Fwww.webofscience.com%2Fwos%2Fwoscc%2Ffull-record%2FWOS:000223234800016","View Full Record in Web of Science")</f>
        <v>View Full Record in Web of Science</v>
      </c>
    </row>
    <row r="615" spans="1:72" x14ac:dyDescent="0.15">
      <c r="A615" t="s">
        <v>122</v>
      </c>
      <c r="B615" t="s">
        <v>9030</v>
      </c>
      <c r="C615" t="s">
        <v>74</v>
      </c>
      <c r="D615" t="s">
        <v>74</v>
      </c>
      <c r="E615" t="s">
        <v>74</v>
      </c>
      <c r="F615" t="s">
        <v>9030</v>
      </c>
      <c r="G615" t="s">
        <v>74</v>
      </c>
      <c r="H615" t="s">
        <v>74</v>
      </c>
      <c r="I615" t="s">
        <v>9031</v>
      </c>
      <c r="J615" t="s">
        <v>7640</v>
      </c>
      <c r="K615" t="s">
        <v>74</v>
      </c>
      <c r="L615" t="s">
        <v>74</v>
      </c>
      <c r="M615" t="s">
        <v>79</v>
      </c>
      <c r="N615" t="s">
        <v>126</v>
      </c>
      <c r="O615" t="s">
        <v>74</v>
      </c>
      <c r="P615" t="s">
        <v>74</v>
      </c>
      <c r="Q615" t="s">
        <v>74</v>
      </c>
      <c r="R615" t="s">
        <v>74</v>
      </c>
      <c r="S615" t="s">
        <v>74</v>
      </c>
      <c r="T615" t="s">
        <v>9032</v>
      </c>
      <c r="U615" t="s">
        <v>9033</v>
      </c>
      <c r="V615" t="s">
        <v>9034</v>
      </c>
      <c r="W615" t="s">
        <v>8988</v>
      </c>
      <c r="X615" t="s">
        <v>8989</v>
      </c>
      <c r="Y615" t="s">
        <v>3217</v>
      </c>
      <c r="Z615" t="s">
        <v>9035</v>
      </c>
      <c r="AA615" t="s">
        <v>74</v>
      </c>
      <c r="AB615" t="s">
        <v>74</v>
      </c>
      <c r="AC615" t="s">
        <v>74</v>
      </c>
      <c r="AD615" t="s">
        <v>74</v>
      </c>
      <c r="AE615" t="s">
        <v>74</v>
      </c>
      <c r="AF615" t="s">
        <v>74</v>
      </c>
      <c r="AG615">
        <v>58</v>
      </c>
      <c r="AH615">
        <v>26</v>
      </c>
      <c r="AI615">
        <v>30</v>
      </c>
      <c r="AJ615">
        <v>0</v>
      </c>
      <c r="AK615">
        <v>12</v>
      </c>
      <c r="AL615" t="s">
        <v>531</v>
      </c>
      <c r="AM615" t="s">
        <v>532</v>
      </c>
      <c r="AN615" t="s">
        <v>533</v>
      </c>
      <c r="AO615" t="s">
        <v>7651</v>
      </c>
      <c r="AP615" t="s">
        <v>7652</v>
      </c>
      <c r="AQ615" t="s">
        <v>74</v>
      </c>
      <c r="AR615" t="s">
        <v>7653</v>
      </c>
      <c r="AS615" t="s">
        <v>7654</v>
      </c>
      <c r="AT615" t="s">
        <v>8496</v>
      </c>
      <c r="AU615">
        <v>2004</v>
      </c>
      <c r="AV615">
        <v>42</v>
      </c>
      <c r="AW615" t="s">
        <v>595</v>
      </c>
      <c r="AX615" t="s">
        <v>74</v>
      </c>
      <c r="AY615" t="s">
        <v>74</v>
      </c>
      <c r="AZ615" t="s">
        <v>74</v>
      </c>
      <c r="BA615" t="s">
        <v>74</v>
      </c>
      <c r="BB615">
        <v>265</v>
      </c>
      <c r="BC615">
        <v>278</v>
      </c>
      <c r="BD615" t="s">
        <v>74</v>
      </c>
      <c r="BE615" t="s">
        <v>9036</v>
      </c>
      <c r="BF615" t="str">
        <f>HYPERLINK("http://dx.doi.org/10.1016/j.gloplacha.2003.09.005","http://dx.doi.org/10.1016/j.gloplacha.2003.09.005")</f>
        <v>http://dx.doi.org/10.1016/j.gloplacha.2003.09.005</v>
      </c>
      <c r="BG615" t="s">
        <v>74</v>
      </c>
      <c r="BH615" t="s">
        <v>74</v>
      </c>
      <c r="BI615">
        <v>14</v>
      </c>
      <c r="BJ615" t="s">
        <v>3767</v>
      </c>
      <c r="BK615" t="s">
        <v>139</v>
      </c>
      <c r="BL615" t="s">
        <v>3768</v>
      </c>
      <c r="BM615" t="s">
        <v>8875</v>
      </c>
      <c r="BN615" t="s">
        <v>74</v>
      </c>
      <c r="BO615" t="s">
        <v>74</v>
      </c>
      <c r="BP615" t="s">
        <v>74</v>
      </c>
      <c r="BQ615" t="s">
        <v>74</v>
      </c>
      <c r="BR615" t="s">
        <v>98</v>
      </c>
      <c r="BS615" t="s">
        <v>9037</v>
      </c>
      <c r="BT615" t="str">
        <f>HYPERLINK("https%3A%2F%2Fwww.webofscience.com%2Fwos%2Fwoscc%2Ffull-record%2FWOS:000223234800018","View Full Record in Web of Science")</f>
        <v>View Full Record in Web of Science</v>
      </c>
    </row>
    <row r="616" spans="1:72" x14ac:dyDescent="0.15">
      <c r="A616" t="s">
        <v>122</v>
      </c>
      <c r="B616" t="s">
        <v>9038</v>
      </c>
      <c r="C616" t="s">
        <v>74</v>
      </c>
      <c r="D616" t="s">
        <v>74</v>
      </c>
      <c r="E616" t="s">
        <v>74</v>
      </c>
      <c r="F616" t="s">
        <v>9038</v>
      </c>
      <c r="G616" t="s">
        <v>74</v>
      </c>
      <c r="H616" t="s">
        <v>74</v>
      </c>
      <c r="I616" t="s">
        <v>9039</v>
      </c>
      <c r="J616" t="s">
        <v>7640</v>
      </c>
      <c r="K616" t="s">
        <v>74</v>
      </c>
      <c r="L616" t="s">
        <v>74</v>
      </c>
      <c r="M616" t="s">
        <v>79</v>
      </c>
      <c r="N616" t="s">
        <v>126</v>
      </c>
      <c r="O616" t="s">
        <v>74</v>
      </c>
      <c r="P616" t="s">
        <v>74</v>
      </c>
      <c r="Q616" t="s">
        <v>74</v>
      </c>
      <c r="R616" t="s">
        <v>74</v>
      </c>
      <c r="S616" t="s">
        <v>74</v>
      </c>
      <c r="T616" t="s">
        <v>9040</v>
      </c>
      <c r="U616" t="s">
        <v>9041</v>
      </c>
      <c r="V616" t="s">
        <v>9042</v>
      </c>
      <c r="W616" t="s">
        <v>9043</v>
      </c>
      <c r="X616" t="s">
        <v>9044</v>
      </c>
      <c r="Y616" t="s">
        <v>9045</v>
      </c>
      <c r="Z616" t="s">
        <v>9046</v>
      </c>
      <c r="AA616" t="s">
        <v>9047</v>
      </c>
      <c r="AB616" t="s">
        <v>9048</v>
      </c>
      <c r="AC616" t="s">
        <v>74</v>
      </c>
      <c r="AD616" t="s">
        <v>74</v>
      </c>
      <c r="AE616" t="s">
        <v>74</v>
      </c>
      <c r="AF616" t="s">
        <v>74</v>
      </c>
      <c r="AG616">
        <v>33</v>
      </c>
      <c r="AH616">
        <v>12</v>
      </c>
      <c r="AI616">
        <v>14</v>
      </c>
      <c r="AJ616">
        <v>0</v>
      </c>
      <c r="AK616">
        <v>0</v>
      </c>
      <c r="AL616" t="s">
        <v>531</v>
      </c>
      <c r="AM616" t="s">
        <v>532</v>
      </c>
      <c r="AN616" t="s">
        <v>533</v>
      </c>
      <c r="AO616" t="s">
        <v>7651</v>
      </c>
      <c r="AP616" t="s">
        <v>7652</v>
      </c>
      <c r="AQ616" t="s">
        <v>74</v>
      </c>
      <c r="AR616" t="s">
        <v>7653</v>
      </c>
      <c r="AS616" t="s">
        <v>7654</v>
      </c>
      <c r="AT616" t="s">
        <v>8496</v>
      </c>
      <c r="AU616">
        <v>2004</v>
      </c>
      <c r="AV616">
        <v>42</v>
      </c>
      <c r="AW616" t="s">
        <v>595</v>
      </c>
      <c r="AX616" t="s">
        <v>74</v>
      </c>
      <c r="AY616" t="s">
        <v>74</v>
      </c>
      <c r="AZ616" t="s">
        <v>74</v>
      </c>
      <c r="BA616" t="s">
        <v>74</v>
      </c>
      <c r="BB616">
        <v>295</v>
      </c>
      <c r="BC616">
        <v>303</v>
      </c>
      <c r="BD616" t="s">
        <v>74</v>
      </c>
      <c r="BE616" t="s">
        <v>9049</v>
      </c>
      <c r="BF616" t="str">
        <f>HYPERLINK("http://dx.doi.org/10.1016/j.gloplacha.2003.11.013","http://dx.doi.org/10.1016/j.gloplacha.2003.11.013")</f>
        <v>http://dx.doi.org/10.1016/j.gloplacha.2003.11.013</v>
      </c>
      <c r="BG616" t="s">
        <v>74</v>
      </c>
      <c r="BH616" t="s">
        <v>74</v>
      </c>
      <c r="BI616">
        <v>9</v>
      </c>
      <c r="BJ616" t="s">
        <v>3767</v>
      </c>
      <c r="BK616" t="s">
        <v>139</v>
      </c>
      <c r="BL616" t="s">
        <v>3768</v>
      </c>
      <c r="BM616" t="s">
        <v>8875</v>
      </c>
      <c r="BN616" t="s">
        <v>74</v>
      </c>
      <c r="BO616" t="s">
        <v>74</v>
      </c>
      <c r="BP616" t="s">
        <v>74</v>
      </c>
      <c r="BQ616" t="s">
        <v>74</v>
      </c>
      <c r="BR616" t="s">
        <v>98</v>
      </c>
      <c r="BS616" t="s">
        <v>9050</v>
      </c>
      <c r="BT616" t="str">
        <f>HYPERLINK("https%3A%2F%2Fwww.webofscience.com%2Fwos%2Fwoscc%2Ffull-record%2FWOS:000223234800020","View Full Record in Web of Science")</f>
        <v>View Full Record in Web of Science</v>
      </c>
    </row>
    <row r="617" spans="1:72" x14ac:dyDescent="0.15">
      <c r="A617" t="s">
        <v>122</v>
      </c>
      <c r="B617" t="s">
        <v>9051</v>
      </c>
      <c r="C617" t="s">
        <v>74</v>
      </c>
      <c r="D617" t="s">
        <v>74</v>
      </c>
      <c r="E617" t="s">
        <v>74</v>
      </c>
      <c r="F617" t="s">
        <v>9051</v>
      </c>
      <c r="G617" t="s">
        <v>74</v>
      </c>
      <c r="H617" t="s">
        <v>74</v>
      </c>
      <c r="I617" t="s">
        <v>9052</v>
      </c>
      <c r="J617" t="s">
        <v>7640</v>
      </c>
      <c r="K617" t="s">
        <v>74</v>
      </c>
      <c r="L617" t="s">
        <v>74</v>
      </c>
      <c r="M617" t="s">
        <v>79</v>
      </c>
      <c r="N617" t="s">
        <v>126</v>
      </c>
      <c r="O617" t="s">
        <v>74</v>
      </c>
      <c r="P617" t="s">
        <v>74</v>
      </c>
      <c r="Q617" t="s">
        <v>74</v>
      </c>
      <c r="R617" t="s">
        <v>74</v>
      </c>
      <c r="S617" t="s">
        <v>74</v>
      </c>
      <c r="T617" t="s">
        <v>9053</v>
      </c>
      <c r="U617" t="s">
        <v>9054</v>
      </c>
      <c r="V617" t="s">
        <v>9055</v>
      </c>
      <c r="W617" t="s">
        <v>9056</v>
      </c>
      <c r="X617" t="s">
        <v>9057</v>
      </c>
      <c r="Y617" t="s">
        <v>9058</v>
      </c>
      <c r="Z617" t="s">
        <v>9059</v>
      </c>
      <c r="AA617" t="s">
        <v>9060</v>
      </c>
      <c r="AB617" t="s">
        <v>9061</v>
      </c>
      <c r="AC617" t="s">
        <v>74</v>
      </c>
      <c r="AD617" t="s">
        <v>74</v>
      </c>
      <c r="AE617" t="s">
        <v>74</v>
      </c>
      <c r="AF617" t="s">
        <v>74</v>
      </c>
      <c r="AG617">
        <v>22</v>
      </c>
      <c r="AH617">
        <v>34</v>
      </c>
      <c r="AI617">
        <v>43</v>
      </c>
      <c r="AJ617">
        <v>0</v>
      </c>
      <c r="AK617">
        <v>3</v>
      </c>
      <c r="AL617" t="s">
        <v>562</v>
      </c>
      <c r="AM617" t="s">
        <v>532</v>
      </c>
      <c r="AN617" t="s">
        <v>563</v>
      </c>
      <c r="AO617" t="s">
        <v>7651</v>
      </c>
      <c r="AP617" t="s">
        <v>74</v>
      </c>
      <c r="AQ617" t="s">
        <v>74</v>
      </c>
      <c r="AR617" t="s">
        <v>7653</v>
      </c>
      <c r="AS617" t="s">
        <v>7654</v>
      </c>
      <c r="AT617" t="s">
        <v>8496</v>
      </c>
      <c r="AU617">
        <v>2004</v>
      </c>
      <c r="AV617">
        <v>42</v>
      </c>
      <c r="AW617" t="s">
        <v>595</v>
      </c>
      <c r="AX617" t="s">
        <v>74</v>
      </c>
      <c r="AY617" t="s">
        <v>74</v>
      </c>
      <c r="AZ617" t="s">
        <v>74</v>
      </c>
      <c r="BA617" t="s">
        <v>74</v>
      </c>
      <c r="BB617">
        <v>305</v>
      </c>
      <c r="BC617">
        <v>311</v>
      </c>
      <c r="BD617" t="s">
        <v>74</v>
      </c>
      <c r="BE617" t="s">
        <v>9062</v>
      </c>
      <c r="BF617" t="str">
        <f>HYPERLINK("http://dx.doi.org/10.1016/j.gloplacha.2004.02.006","http://dx.doi.org/10.1016/j.gloplacha.2004.02.006")</f>
        <v>http://dx.doi.org/10.1016/j.gloplacha.2004.02.006</v>
      </c>
      <c r="BG617" t="s">
        <v>74</v>
      </c>
      <c r="BH617" t="s">
        <v>74</v>
      </c>
      <c r="BI617">
        <v>7</v>
      </c>
      <c r="BJ617" t="s">
        <v>3767</v>
      </c>
      <c r="BK617" t="s">
        <v>139</v>
      </c>
      <c r="BL617" t="s">
        <v>3768</v>
      </c>
      <c r="BM617" t="s">
        <v>8875</v>
      </c>
      <c r="BN617" t="s">
        <v>74</v>
      </c>
      <c r="BO617" t="s">
        <v>74</v>
      </c>
      <c r="BP617" t="s">
        <v>74</v>
      </c>
      <c r="BQ617" t="s">
        <v>74</v>
      </c>
      <c r="BR617" t="s">
        <v>98</v>
      </c>
      <c r="BS617" t="s">
        <v>9063</v>
      </c>
      <c r="BT617" t="str">
        <f>HYPERLINK("https%3A%2F%2Fwww.webofscience.com%2Fwos%2Fwoscc%2Ffull-record%2FWOS:000223234800021","View Full Record in Web of Science")</f>
        <v>View Full Record in Web of Science</v>
      </c>
    </row>
    <row r="618" spans="1:72" x14ac:dyDescent="0.15">
      <c r="A618" t="s">
        <v>122</v>
      </c>
      <c r="B618" t="s">
        <v>9064</v>
      </c>
      <c r="C618" t="s">
        <v>74</v>
      </c>
      <c r="D618" t="s">
        <v>74</v>
      </c>
      <c r="E618" t="s">
        <v>74</v>
      </c>
      <c r="F618" t="s">
        <v>9064</v>
      </c>
      <c r="G618" t="s">
        <v>74</v>
      </c>
      <c r="H618" t="s">
        <v>74</v>
      </c>
      <c r="I618" t="s">
        <v>9065</v>
      </c>
      <c r="J618" t="s">
        <v>7640</v>
      </c>
      <c r="K618" t="s">
        <v>74</v>
      </c>
      <c r="L618" t="s">
        <v>74</v>
      </c>
      <c r="M618" t="s">
        <v>79</v>
      </c>
      <c r="N618" t="s">
        <v>126</v>
      </c>
      <c r="O618" t="s">
        <v>74</v>
      </c>
      <c r="P618" t="s">
        <v>74</v>
      </c>
      <c r="Q618" t="s">
        <v>74</v>
      </c>
      <c r="R618" t="s">
        <v>74</v>
      </c>
      <c r="S618" t="s">
        <v>74</v>
      </c>
      <c r="T618" t="s">
        <v>9066</v>
      </c>
      <c r="U618" t="s">
        <v>9067</v>
      </c>
      <c r="V618" t="s">
        <v>9068</v>
      </c>
      <c r="W618" t="s">
        <v>9069</v>
      </c>
      <c r="X618" t="s">
        <v>9070</v>
      </c>
      <c r="Y618" t="s">
        <v>9071</v>
      </c>
      <c r="Z618" t="s">
        <v>9072</v>
      </c>
      <c r="AA618" t="s">
        <v>74</v>
      </c>
      <c r="AB618" t="s">
        <v>9073</v>
      </c>
      <c r="AC618" t="s">
        <v>74</v>
      </c>
      <c r="AD618" t="s">
        <v>74</v>
      </c>
      <c r="AE618" t="s">
        <v>74</v>
      </c>
      <c r="AF618" t="s">
        <v>74</v>
      </c>
      <c r="AG618">
        <v>17</v>
      </c>
      <c r="AH618">
        <v>64</v>
      </c>
      <c r="AI618">
        <v>71</v>
      </c>
      <c r="AJ618">
        <v>0</v>
      </c>
      <c r="AK618">
        <v>11</v>
      </c>
      <c r="AL618" t="s">
        <v>531</v>
      </c>
      <c r="AM618" t="s">
        <v>532</v>
      </c>
      <c r="AN618" t="s">
        <v>533</v>
      </c>
      <c r="AO618" t="s">
        <v>7651</v>
      </c>
      <c r="AP618" t="s">
        <v>7652</v>
      </c>
      <c r="AQ618" t="s">
        <v>74</v>
      </c>
      <c r="AR618" t="s">
        <v>7653</v>
      </c>
      <c r="AS618" t="s">
        <v>7654</v>
      </c>
      <c r="AT618" t="s">
        <v>8496</v>
      </c>
      <c r="AU618">
        <v>2004</v>
      </c>
      <c r="AV618">
        <v>42</v>
      </c>
      <c r="AW618" t="s">
        <v>595</v>
      </c>
      <c r="AX618" t="s">
        <v>74</v>
      </c>
      <c r="AY618" t="s">
        <v>74</v>
      </c>
      <c r="AZ618" t="s">
        <v>74</v>
      </c>
      <c r="BA618" t="s">
        <v>74</v>
      </c>
      <c r="BB618">
        <v>313</v>
      </c>
      <c r="BC618">
        <v>321</v>
      </c>
      <c r="BD618" t="s">
        <v>74</v>
      </c>
      <c r="BE618" t="s">
        <v>9074</v>
      </c>
      <c r="BF618" t="str">
        <f>HYPERLINK("http://dx.doi.org/10.1016/j.gloplacha.2003.12.003","http://dx.doi.org/10.1016/j.gloplacha.2003.12.003")</f>
        <v>http://dx.doi.org/10.1016/j.gloplacha.2003.12.003</v>
      </c>
      <c r="BG618" t="s">
        <v>74</v>
      </c>
      <c r="BH618" t="s">
        <v>74</v>
      </c>
      <c r="BI618">
        <v>9</v>
      </c>
      <c r="BJ618" t="s">
        <v>3767</v>
      </c>
      <c r="BK618" t="s">
        <v>139</v>
      </c>
      <c r="BL618" t="s">
        <v>3768</v>
      </c>
      <c r="BM618" t="s">
        <v>8875</v>
      </c>
      <c r="BN618" t="s">
        <v>74</v>
      </c>
      <c r="BO618" t="s">
        <v>74</v>
      </c>
      <c r="BP618" t="s">
        <v>74</v>
      </c>
      <c r="BQ618" t="s">
        <v>74</v>
      </c>
      <c r="BR618" t="s">
        <v>98</v>
      </c>
      <c r="BS618" t="s">
        <v>9075</v>
      </c>
      <c r="BT618" t="str">
        <f>HYPERLINK("https%3A%2F%2Fwww.webofscience.com%2Fwos%2Fwoscc%2Ffull-record%2FWOS:000223234800022","View Full Record in Web of Science")</f>
        <v>View Full Record in Web of Science</v>
      </c>
    </row>
    <row r="619" spans="1:72" x14ac:dyDescent="0.15">
      <c r="A619" t="s">
        <v>122</v>
      </c>
      <c r="B619" t="s">
        <v>9076</v>
      </c>
      <c r="C619" t="s">
        <v>74</v>
      </c>
      <c r="D619" t="s">
        <v>74</v>
      </c>
      <c r="E619" t="s">
        <v>74</v>
      </c>
      <c r="F619" t="s">
        <v>9076</v>
      </c>
      <c r="G619" t="s">
        <v>74</v>
      </c>
      <c r="H619" t="s">
        <v>74</v>
      </c>
      <c r="I619" t="s">
        <v>9077</v>
      </c>
      <c r="J619" t="s">
        <v>1320</v>
      </c>
      <c r="K619" t="s">
        <v>74</v>
      </c>
      <c r="L619" t="s">
        <v>74</v>
      </c>
      <c r="M619" t="s">
        <v>79</v>
      </c>
      <c r="N619" t="s">
        <v>126</v>
      </c>
      <c r="O619" t="s">
        <v>74</v>
      </c>
      <c r="P619" t="s">
        <v>74</v>
      </c>
      <c r="Q619" t="s">
        <v>74</v>
      </c>
      <c r="R619" t="s">
        <v>74</v>
      </c>
      <c r="S619" t="s">
        <v>74</v>
      </c>
      <c r="T619" t="s">
        <v>9078</v>
      </c>
      <c r="U619" t="s">
        <v>9079</v>
      </c>
      <c r="V619" t="s">
        <v>9080</v>
      </c>
      <c r="W619" t="s">
        <v>9081</v>
      </c>
      <c r="X619" t="s">
        <v>9082</v>
      </c>
      <c r="Y619" t="s">
        <v>9083</v>
      </c>
      <c r="Z619" t="s">
        <v>9084</v>
      </c>
      <c r="AA619" t="s">
        <v>74</v>
      </c>
      <c r="AB619" t="s">
        <v>74</v>
      </c>
      <c r="AC619" t="s">
        <v>74</v>
      </c>
      <c r="AD619" t="s">
        <v>74</v>
      </c>
      <c r="AE619" t="s">
        <v>74</v>
      </c>
      <c r="AF619" t="s">
        <v>74</v>
      </c>
      <c r="AG619">
        <v>61</v>
      </c>
      <c r="AH619">
        <v>20</v>
      </c>
      <c r="AI619">
        <v>26</v>
      </c>
      <c r="AJ619">
        <v>0</v>
      </c>
      <c r="AK619">
        <v>49</v>
      </c>
      <c r="AL619" t="s">
        <v>1418</v>
      </c>
      <c r="AM619" t="s">
        <v>1419</v>
      </c>
      <c r="AN619" t="s">
        <v>1420</v>
      </c>
      <c r="AO619" t="s">
        <v>1332</v>
      </c>
      <c r="AP619" t="s">
        <v>9085</v>
      </c>
      <c r="AQ619" t="s">
        <v>74</v>
      </c>
      <c r="AR619" t="s">
        <v>1333</v>
      </c>
      <c r="AS619" t="s">
        <v>1334</v>
      </c>
      <c r="AT619" t="s">
        <v>8496</v>
      </c>
      <c r="AU619">
        <v>2004</v>
      </c>
      <c r="AV619">
        <v>10</v>
      </c>
      <c r="AW619">
        <v>7</v>
      </c>
      <c r="AX619" t="s">
        <v>74</v>
      </c>
      <c r="AY619" t="s">
        <v>74</v>
      </c>
      <c r="AZ619" t="s">
        <v>74</v>
      </c>
      <c r="BA619" t="s">
        <v>74</v>
      </c>
      <c r="BB619">
        <v>1065</v>
      </c>
      <c r="BC619">
        <v>1079</v>
      </c>
      <c r="BD619" t="s">
        <v>74</v>
      </c>
      <c r="BE619" t="s">
        <v>9086</v>
      </c>
      <c r="BF619" t="str">
        <f>HYPERLINK("http://dx.doi.org/10.1111/j.1529-8817.2003.00793.x","http://dx.doi.org/10.1111/j.1529-8817.2003.00793.x")</f>
        <v>http://dx.doi.org/10.1111/j.1529-8817.2003.00793.x</v>
      </c>
      <c r="BG619" t="s">
        <v>74</v>
      </c>
      <c r="BH619" t="s">
        <v>74</v>
      </c>
      <c r="BI619">
        <v>15</v>
      </c>
      <c r="BJ619" t="s">
        <v>1336</v>
      </c>
      <c r="BK619" t="s">
        <v>139</v>
      </c>
      <c r="BL619" t="s">
        <v>1337</v>
      </c>
      <c r="BM619" t="s">
        <v>9087</v>
      </c>
      <c r="BN619" t="s">
        <v>74</v>
      </c>
      <c r="BO619" t="s">
        <v>74</v>
      </c>
      <c r="BP619" t="s">
        <v>74</v>
      </c>
      <c r="BQ619" t="s">
        <v>74</v>
      </c>
      <c r="BR619" t="s">
        <v>98</v>
      </c>
      <c r="BS619" t="s">
        <v>9088</v>
      </c>
      <c r="BT619" t="str">
        <f>HYPERLINK("https%3A%2F%2Fwww.webofscience.com%2Fwos%2Fwoscc%2Ffull-record%2FWOS:000222206300003","View Full Record in Web of Science")</f>
        <v>View Full Record in Web of Science</v>
      </c>
    </row>
    <row r="620" spans="1:72" x14ac:dyDescent="0.15">
      <c r="A620" t="s">
        <v>122</v>
      </c>
      <c r="B620" t="s">
        <v>9089</v>
      </c>
      <c r="C620" t="s">
        <v>74</v>
      </c>
      <c r="D620" t="s">
        <v>74</v>
      </c>
      <c r="E620" t="s">
        <v>74</v>
      </c>
      <c r="F620" t="s">
        <v>9090</v>
      </c>
      <c r="G620" t="s">
        <v>74</v>
      </c>
      <c r="H620" t="s">
        <v>74</v>
      </c>
      <c r="I620" t="s">
        <v>9091</v>
      </c>
      <c r="J620" t="s">
        <v>9092</v>
      </c>
      <c r="K620" t="s">
        <v>74</v>
      </c>
      <c r="L620" t="s">
        <v>74</v>
      </c>
      <c r="M620" t="s">
        <v>79</v>
      </c>
      <c r="N620" t="s">
        <v>126</v>
      </c>
      <c r="O620" t="s">
        <v>74</v>
      </c>
      <c r="P620" t="s">
        <v>74</v>
      </c>
      <c r="Q620" t="s">
        <v>74</v>
      </c>
      <c r="R620" t="s">
        <v>74</v>
      </c>
      <c r="S620" t="s">
        <v>74</v>
      </c>
      <c r="T620" t="s">
        <v>9093</v>
      </c>
      <c r="U620" t="s">
        <v>9094</v>
      </c>
      <c r="V620" t="s">
        <v>9095</v>
      </c>
      <c r="W620" t="s">
        <v>9096</v>
      </c>
      <c r="X620" t="s">
        <v>9097</v>
      </c>
      <c r="Y620" t="s">
        <v>9098</v>
      </c>
      <c r="Z620" t="s">
        <v>9099</v>
      </c>
      <c r="AA620" t="s">
        <v>74</v>
      </c>
      <c r="AB620" t="s">
        <v>74</v>
      </c>
      <c r="AC620" t="s">
        <v>9100</v>
      </c>
      <c r="AD620" t="s">
        <v>9101</v>
      </c>
      <c r="AE620" t="s">
        <v>9102</v>
      </c>
      <c r="AF620" t="s">
        <v>74</v>
      </c>
      <c r="AG620">
        <v>53</v>
      </c>
      <c r="AH620">
        <v>72</v>
      </c>
      <c r="AI620">
        <v>79</v>
      </c>
      <c r="AJ620">
        <v>1</v>
      </c>
      <c r="AK620">
        <v>22</v>
      </c>
      <c r="AL620" t="s">
        <v>919</v>
      </c>
      <c r="AM620" t="s">
        <v>613</v>
      </c>
      <c r="AN620" t="s">
        <v>937</v>
      </c>
      <c r="AO620" t="s">
        <v>9103</v>
      </c>
      <c r="AP620" t="s">
        <v>9104</v>
      </c>
      <c r="AQ620" t="s">
        <v>74</v>
      </c>
      <c r="AR620" t="s">
        <v>9105</v>
      </c>
      <c r="AS620" t="s">
        <v>9106</v>
      </c>
      <c r="AT620" t="s">
        <v>8496</v>
      </c>
      <c r="AU620">
        <v>2004</v>
      </c>
      <c r="AV620">
        <v>3</v>
      </c>
      <c r="AW620">
        <v>3</v>
      </c>
      <c r="AX620" t="s">
        <v>74</v>
      </c>
      <c r="AY620" t="s">
        <v>74</v>
      </c>
      <c r="AZ620" t="s">
        <v>74</v>
      </c>
      <c r="BA620" t="s">
        <v>74</v>
      </c>
      <c r="BB620">
        <v>247</v>
      </c>
      <c r="BC620">
        <v>256</v>
      </c>
      <c r="BD620" t="s">
        <v>74</v>
      </c>
      <c r="BE620" t="s">
        <v>9107</v>
      </c>
      <c r="BF620" t="str">
        <f>HYPERLINK("http://dx.doi.org/10.1017/S1473550404001995","http://dx.doi.org/10.1017/S1473550404001995")</f>
        <v>http://dx.doi.org/10.1017/S1473550404001995</v>
      </c>
      <c r="BG620" t="s">
        <v>74</v>
      </c>
      <c r="BH620" t="s">
        <v>74</v>
      </c>
      <c r="BI620">
        <v>10</v>
      </c>
      <c r="BJ620" t="s">
        <v>5705</v>
      </c>
      <c r="BK620" t="s">
        <v>139</v>
      </c>
      <c r="BL620" t="s">
        <v>5706</v>
      </c>
      <c r="BM620" t="s">
        <v>9108</v>
      </c>
      <c r="BN620" t="s">
        <v>74</v>
      </c>
      <c r="BO620" t="s">
        <v>74</v>
      </c>
      <c r="BP620" t="s">
        <v>74</v>
      </c>
      <c r="BQ620" t="s">
        <v>74</v>
      </c>
      <c r="BR620" t="s">
        <v>98</v>
      </c>
      <c r="BS620" t="s">
        <v>9109</v>
      </c>
      <c r="BT620" t="str">
        <f>HYPERLINK("https%3A%2F%2Fwww.webofscience.com%2Fwos%2Fwoscc%2Ffull-record%2FWOS:000208284100007","View Full Record in Web of Science")</f>
        <v>View Full Record in Web of Science</v>
      </c>
    </row>
    <row r="621" spans="1:72" x14ac:dyDescent="0.15">
      <c r="A621" t="s">
        <v>122</v>
      </c>
      <c r="B621" t="s">
        <v>9110</v>
      </c>
      <c r="C621" t="s">
        <v>74</v>
      </c>
      <c r="D621" t="s">
        <v>74</v>
      </c>
      <c r="E621" t="s">
        <v>74</v>
      </c>
      <c r="F621" t="s">
        <v>9110</v>
      </c>
      <c r="G621" t="s">
        <v>74</v>
      </c>
      <c r="H621" t="s">
        <v>74</v>
      </c>
      <c r="I621" t="s">
        <v>9111</v>
      </c>
      <c r="J621" t="s">
        <v>1411</v>
      </c>
      <c r="K621" t="s">
        <v>74</v>
      </c>
      <c r="L621" t="s">
        <v>74</v>
      </c>
      <c r="M621" t="s">
        <v>79</v>
      </c>
      <c r="N621" t="s">
        <v>126</v>
      </c>
      <c r="O621" t="s">
        <v>74</v>
      </c>
      <c r="P621" t="s">
        <v>74</v>
      </c>
      <c r="Q621" t="s">
        <v>74</v>
      </c>
      <c r="R621" t="s">
        <v>74</v>
      </c>
      <c r="S621" t="s">
        <v>74</v>
      </c>
      <c r="T621" t="s">
        <v>9112</v>
      </c>
      <c r="U621" t="s">
        <v>9113</v>
      </c>
      <c r="V621" t="s">
        <v>9114</v>
      </c>
      <c r="W621" t="s">
        <v>9115</v>
      </c>
      <c r="X621" t="s">
        <v>9116</v>
      </c>
      <c r="Y621" t="s">
        <v>9117</v>
      </c>
      <c r="Z621" t="s">
        <v>9118</v>
      </c>
      <c r="AA621" t="s">
        <v>9119</v>
      </c>
      <c r="AB621" t="s">
        <v>9120</v>
      </c>
      <c r="AC621" t="s">
        <v>74</v>
      </c>
      <c r="AD621" t="s">
        <v>74</v>
      </c>
      <c r="AE621" t="s">
        <v>74</v>
      </c>
      <c r="AF621" t="s">
        <v>74</v>
      </c>
      <c r="AG621">
        <v>74</v>
      </c>
      <c r="AH621">
        <v>55</v>
      </c>
      <c r="AI621">
        <v>58</v>
      </c>
      <c r="AJ621">
        <v>0</v>
      </c>
      <c r="AK621">
        <v>6</v>
      </c>
      <c r="AL621" t="s">
        <v>1142</v>
      </c>
      <c r="AM621" t="s">
        <v>1143</v>
      </c>
      <c r="AN621" t="s">
        <v>1144</v>
      </c>
      <c r="AO621" t="s">
        <v>1421</v>
      </c>
      <c r="AP621" t="s">
        <v>74</v>
      </c>
      <c r="AQ621" t="s">
        <v>74</v>
      </c>
      <c r="AR621" t="s">
        <v>1423</v>
      </c>
      <c r="AS621" t="s">
        <v>1424</v>
      </c>
      <c r="AT621" t="s">
        <v>8496</v>
      </c>
      <c r="AU621">
        <v>2004</v>
      </c>
      <c r="AV621">
        <v>24</v>
      </c>
      <c r="AW621">
        <v>9</v>
      </c>
      <c r="AX621" t="s">
        <v>74</v>
      </c>
      <c r="AY621" t="s">
        <v>74</v>
      </c>
      <c r="AZ621" t="s">
        <v>74</v>
      </c>
      <c r="BA621" t="s">
        <v>74</v>
      </c>
      <c r="BB621">
        <v>1057</v>
      </c>
      <c r="BC621">
        <v>1076</v>
      </c>
      <c r="BD621" t="s">
        <v>74</v>
      </c>
      <c r="BE621" t="s">
        <v>9121</v>
      </c>
      <c r="BF621" t="str">
        <f>HYPERLINK("http://dx.doi.org/10.1002/joc.1057","http://dx.doi.org/10.1002/joc.1057")</f>
        <v>http://dx.doi.org/10.1002/joc.1057</v>
      </c>
      <c r="BG621" t="s">
        <v>74</v>
      </c>
      <c r="BH621" t="s">
        <v>74</v>
      </c>
      <c r="BI621">
        <v>20</v>
      </c>
      <c r="BJ621" t="s">
        <v>291</v>
      </c>
      <c r="BK621" t="s">
        <v>139</v>
      </c>
      <c r="BL621" t="s">
        <v>291</v>
      </c>
      <c r="BM621" t="s">
        <v>9122</v>
      </c>
      <c r="BN621" t="s">
        <v>74</v>
      </c>
      <c r="BO621" t="s">
        <v>74</v>
      </c>
      <c r="BP621" t="s">
        <v>74</v>
      </c>
      <c r="BQ621" t="s">
        <v>74</v>
      </c>
      <c r="BR621" t="s">
        <v>98</v>
      </c>
      <c r="BS621" t="s">
        <v>9123</v>
      </c>
      <c r="BT621" t="str">
        <f>HYPERLINK("https%3A%2F%2Fwww.webofscience.com%2Fwos%2Fwoscc%2Ffull-record%2FWOS:000222886800001","View Full Record in Web of Science")</f>
        <v>View Full Record in Web of Science</v>
      </c>
    </row>
    <row r="622" spans="1:72" x14ac:dyDescent="0.15">
      <c r="A622" t="s">
        <v>122</v>
      </c>
      <c r="B622" t="s">
        <v>9124</v>
      </c>
      <c r="C622" t="s">
        <v>74</v>
      </c>
      <c r="D622" t="s">
        <v>74</v>
      </c>
      <c r="E622" t="s">
        <v>74</v>
      </c>
      <c r="F622" t="s">
        <v>9124</v>
      </c>
      <c r="G622" t="s">
        <v>74</v>
      </c>
      <c r="H622" t="s">
        <v>74</v>
      </c>
      <c r="I622" t="s">
        <v>9125</v>
      </c>
      <c r="J622" t="s">
        <v>3291</v>
      </c>
      <c r="K622" t="s">
        <v>74</v>
      </c>
      <c r="L622" t="s">
        <v>74</v>
      </c>
      <c r="M622" t="s">
        <v>79</v>
      </c>
      <c r="N622" t="s">
        <v>126</v>
      </c>
      <c r="O622" t="s">
        <v>74</v>
      </c>
      <c r="P622" t="s">
        <v>74</v>
      </c>
      <c r="Q622" t="s">
        <v>74</v>
      </c>
      <c r="R622" t="s">
        <v>74</v>
      </c>
      <c r="S622" t="s">
        <v>74</v>
      </c>
      <c r="T622" t="s">
        <v>74</v>
      </c>
      <c r="U622" t="s">
        <v>9126</v>
      </c>
      <c r="V622" t="s">
        <v>9127</v>
      </c>
      <c r="W622" t="s">
        <v>9128</v>
      </c>
      <c r="X622" t="s">
        <v>9129</v>
      </c>
      <c r="Y622" t="s">
        <v>9130</v>
      </c>
      <c r="Z622" t="s">
        <v>9131</v>
      </c>
      <c r="AA622" t="s">
        <v>9132</v>
      </c>
      <c r="AB622" t="s">
        <v>9133</v>
      </c>
      <c r="AC622" t="s">
        <v>74</v>
      </c>
      <c r="AD622" t="s">
        <v>74</v>
      </c>
      <c r="AE622" t="s">
        <v>74</v>
      </c>
      <c r="AF622" t="s">
        <v>74</v>
      </c>
      <c r="AG622">
        <v>12</v>
      </c>
      <c r="AH622">
        <v>42</v>
      </c>
      <c r="AI622">
        <v>46</v>
      </c>
      <c r="AJ622">
        <v>0</v>
      </c>
      <c r="AK622">
        <v>17</v>
      </c>
      <c r="AL622" t="s">
        <v>6187</v>
      </c>
      <c r="AM622" t="s">
        <v>6188</v>
      </c>
      <c r="AN622" t="s">
        <v>6189</v>
      </c>
      <c r="AO622" t="s">
        <v>3302</v>
      </c>
      <c r="AP622" t="s">
        <v>74</v>
      </c>
      <c r="AQ622" t="s">
        <v>74</v>
      </c>
      <c r="AR622" t="s">
        <v>3304</v>
      </c>
      <c r="AS622" t="s">
        <v>3305</v>
      </c>
      <c r="AT622" t="s">
        <v>8496</v>
      </c>
      <c r="AU622">
        <v>2004</v>
      </c>
      <c r="AV622">
        <v>54</v>
      </c>
      <c r="AW622" t="s">
        <v>74</v>
      </c>
      <c r="AX622">
        <v>4</v>
      </c>
      <c r="AY622" t="s">
        <v>74</v>
      </c>
      <c r="AZ622" t="s">
        <v>74</v>
      </c>
      <c r="BA622" t="s">
        <v>74</v>
      </c>
      <c r="BB622">
        <v>1071</v>
      </c>
      <c r="BC622">
        <v>1076</v>
      </c>
      <c r="BD622" t="s">
        <v>74</v>
      </c>
      <c r="BE622" t="s">
        <v>9134</v>
      </c>
      <c r="BF622" t="str">
        <f>HYPERLINK("http://dx.doi.org/10.1099/ijs.0.02967-0","http://dx.doi.org/10.1099/ijs.0.02967-0")</f>
        <v>http://dx.doi.org/10.1099/ijs.0.02967-0</v>
      </c>
      <c r="BG622" t="s">
        <v>74</v>
      </c>
      <c r="BH622" t="s">
        <v>74</v>
      </c>
      <c r="BI622">
        <v>6</v>
      </c>
      <c r="BJ622" t="s">
        <v>1536</v>
      </c>
      <c r="BK622" t="s">
        <v>139</v>
      </c>
      <c r="BL622" t="s">
        <v>1536</v>
      </c>
      <c r="BM622" t="s">
        <v>9135</v>
      </c>
      <c r="BN622">
        <v>15280271</v>
      </c>
      <c r="BO622" t="s">
        <v>273</v>
      </c>
      <c r="BP622" t="s">
        <v>74</v>
      </c>
      <c r="BQ622" t="s">
        <v>74</v>
      </c>
      <c r="BR622" t="s">
        <v>98</v>
      </c>
      <c r="BS622" t="s">
        <v>9136</v>
      </c>
      <c r="BT622" t="str">
        <f>HYPERLINK("https%3A%2F%2Fwww.webofscience.com%2Fwos%2Fwoscc%2Ffull-record%2FWOS:000223151800009","View Full Record in Web of Science")</f>
        <v>View Full Record in Web of Science</v>
      </c>
    </row>
    <row r="623" spans="1:72" x14ac:dyDescent="0.15">
      <c r="A623" t="s">
        <v>122</v>
      </c>
      <c r="B623" t="s">
        <v>6180</v>
      </c>
      <c r="C623" t="s">
        <v>74</v>
      </c>
      <c r="D623" t="s">
        <v>74</v>
      </c>
      <c r="E623" t="s">
        <v>74</v>
      </c>
      <c r="F623" t="s">
        <v>6180</v>
      </c>
      <c r="G623" t="s">
        <v>74</v>
      </c>
      <c r="H623" t="s">
        <v>74</v>
      </c>
      <c r="I623" t="s">
        <v>9137</v>
      </c>
      <c r="J623" t="s">
        <v>3291</v>
      </c>
      <c r="K623" t="s">
        <v>74</v>
      </c>
      <c r="L623" t="s">
        <v>74</v>
      </c>
      <c r="M623" t="s">
        <v>79</v>
      </c>
      <c r="N623" t="s">
        <v>126</v>
      </c>
      <c r="O623" t="s">
        <v>74</v>
      </c>
      <c r="P623" t="s">
        <v>74</v>
      </c>
      <c r="Q623" t="s">
        <v>74</v>
      </c>
      <c r="R623" t="s">
        <v>74</v>
      </c>
      <c r="S623" t="s">
        <v>74</v>
      </c>
      <c r="T623" t="s">
        <v>74</v>
      </c>
      <c r="U623" t="s">
        <v>9138</v>
      </c>
      <c r="V623" t="s">
        <v>9139</v>
      </c>
      <c r="W623" t="s">
        <v>9140</v>
      </c>
      <c r="X623" t="s">
        <v>9141</v>
      </c>
      <c r="Y623" t="s">
        <v>3296</v>
      </c>
      <c r="Z623" t="s">
        <v>3297</v>
      </c>
      <c r="AA623" t="s">
        <v>74</v>
      </c>
      <c r="AB623" t="s">
        <v>3299</v>
      </c>
      <c r="AC623" t="s">
        <v>74</v>
      </c>
      <c r="AD623" t="s">
        <v>74</v>
      </c>
      <c r="AE623" t="s">
        <v>74</v>
      </c>
      <c r="AF623" t="s">
        <v>74</v>
      </c>
      <c r="AG623">
        <v>36</v>
      </c>
      <c r="AH623">
        <v>62</v>
      </c>
      <c r="AI623">
        <v>66</v>
      </c>
      <c r="AJ623">
        <v>2</v>
      </c>
      <c r="AK623">
        <v>14</v>
      </c>
      <c r="AL623" t="s">
        <v>3300</v>
      </c>
      <c r="AM623" t="s">
        <v>375</v>
      </c>
      <c r="AN623" t="s">
        <v>3301</v>
      </c>
      <c r="AO623" t="s">
        <v>3302</v>
      </c>
      <c r="AP623" t="s">
        <v>3303</v>
      </c>
      <c r="AQ623" t="s">
        <v>74</v>
      </c>
      <c r="AR623" t="s">
        <v>3304</v>
      </c>
      <c r="AS623" t="s">
        <v>3305</v>
      </c>
      <c r="AT623" t="s">
        <v>8496</v>
      </c>
      <c r="AU623">
        <v>2004</v>
      </c>
      <c r="AV623">
        <v>54</v>
      </c>
      <c r="AW623" t="s">
        <v>74</v>
      </c>
      <c r="AX623">
        <v>4</v>
      </c>
      <c r="AY623" t="s">
        <v>74</v>
      </c>
      <c r="AZ623" t="s">
        <v>74</v>
      </c>
      <c r="BA623" t="s">
        <v>74</v>
      </c>
      <c r="BB623">
        <v>1157</v>
      </c>
      <c r="BC623">
        <v>1163</v>
      </c>
      <c r="BD623" t="s">
        <v>74</v>
      </c>
      <c r="BE623" t="s">
        <v>9142</v>
      </c>
      <c r="BF623" t="str">
        <f>HYPERLINK("http://dx.doi.org/10.1099/ijs.0.02862-0","http://dx.doi.org/10.1099/ijs.0.02862-0")</f>
        <v>http://dx.doi.org/10.1099/ijs.0.02862-0</v>
      </c>
      <c r="BG623" t="s">
        <v>74</v>
      </c>
      <c r="BH623" t="s">
        <v>74</v>
      </c>
      <c r="BI623">
        <v>7</v>
      </c>
      <c r="BJ623" t="s">
        <v>1536</v>
      </c>
      <c r="BK623" t="s">
        <v>139</v>
      </c>
      <c r="BL623" t="s">
        <v>1536</v>
      </c>
      <c r="BM623" t="s">
        <v>9135</v>
      </c>
      <c r="BN623">
        <v>15280285</v>
      </c>
      <c r="BO623" t="s">
        <v>771</v>
      </c>
      <c r="BP623" t="s">
        <v>74</v>
      </c>
      <c r="BQ623" t="s">
        <v>74</v>
      </c>
      <c r="BR623" t="s">
        <v>98</v>
      </c>
      <c r="BS623" t="s">
        <v>9143</v>
      </c>
      <c r="BT623" t="str">
        <f>HYPERLINK("https%3A%2F%2Fwww.webofscience.com%2Fwos%2Fwoscc%2Ffull-record%2FWOS:000223151800023","View Full Record in Web of Science")</f>
        <v>View Full Record in Web of Science</v>
      </c>
    </row>
    <row r="624" spans="1:72" x14ac:dyDescent="0.15">
      <c r="A624" t="s">
        <v>122</v>
      </c>
      <c r="B624" t="s">
        <v>9144</v>
      </c>
      <c r="C624" t="s">
        <v>74</v>
      </c>
      <c r="D624" t="s">
        <v>74</v>
      </c>
      <c r="E624" t="s">
        <v>74</v>
      </c>
      <c r="F624" t="s">
        <v>9144</v>
      </c>
      <c r="G624" t="s">
        <v>74</v>
      </c>
      <c r="H624" t="s">
        <v>74</v>
      </c>
      <c r="I624" t="s">
        <v>9145</v>
      </c>
      <c r="J624" t="s">
        <v>3291</v>
      </c>
      <c r="K624" t="s">
        <v>74</v>
      </c>
      <c r="L624" t="s">
        <v>74</v>
      </c>
      <c r="M624" t="s">
        <v>79</v>
      </c>
      <c r="N624" t="s">
        <v>126</v>
      </c>
      <c r="O624" t="s">
        <v>74</v>
      </c>
      <c r="P624" t="s">
        <v>74</v>
      </c>
      <c r="Q624" t="s">
        <v>74</v>
      </c>
      <c r="R624" t="s">
        <v>74</v>
      </c>
      <c r="S624" t="s">
        <v>74</v>
      </c>
      <c r="T624" t="s">
        <v>74</v>
      </c>
      <c r="U624" t="s">
        <v>9146</v>
      </c>
      <c r="V624" t="s">
        <v>9147</v>
      </c>
      <c r="W624" t="s">
        <v>9148</v>
      </c>
      <c r="X624" t="s">
        <v>3295</v>
      </c>
      <c r="Y624" t="s">
        <v>9149</v>
      </c>
      <c r="Z624" t="s">
        <v>3297</v>
      </c>
      <c r="AA624" t="s">
        <v>74</v>
      </c>
      <c r="AB624" t="s">
        <v>3299</v>
      </c>
      <c r="AC624" t="s">
        <v>74</v>
      </c>
      <c r="AD624" t="s">
        <v>74</v>
      </c>
      <c r="AE624" t="s">
        <v>74</v>
      </c>
      <c r="AF624" t="s">
        <v>74</v>
      </c>
      <c r="AG624">
        <v>30</v>
      </c>
      <c r="AH624">
        <v>100</v>
      </c>
      <c r="AI624">
        <v>114</v>
      </c>
      <c r="AJ624">
        <v>0</v>
      </c>
      <c r="AK624">
        <v>12</v>
      </c>
      <c r="AL624" t="s">
        <v>3300</v>
      </c>
      <c r="AM624" t="s">
        <v>375</v>
      </c>
      <c r="AN624" t="s">
        <v>3301</v>
      </c>
      <c r="AO624" t="s">
        <v>3302</v>
      </c>
      <c r="AP624" t="s">
        <v>3303</v>
      </c>
      <c r="AQ624" t="s">
        <v>74</v>
      </c>
      <c r="AR624" t="s">
        <v>3304</v>
      </c>
      <c r="AS624" t="s">
        <v>3305</v>
      </c>
      <c r="AT624" t="s">
        <v>8496</v>
      </c>
      <c r="AU624">
        <v>2004</v>
      </c>
      <c r="AV624">
        <v>54</v>
      </c>
      <c r="AW624" t="s">
        <v>74</v>
      </c>
      <c r="AX624">
        <v>4</v>
      </c>
      <c r="AY624" t="s">
        <v>74</v>
      </c>
      <c r="AZ624" t="s">
        <v>74</v>
      </c>
      <c r="BA624" t="s">
        <v>74</v>
      </c>
      <c r="BB624">
        <v>1263</v>
      </c>
      <c r="BC624">
        <v>1269</v>
      </c>
      <c r="BD624" t="s">
        <v>74</v>
      </c>
      <c r="BE624" t="s">
        <v>9150</v>
      </c>
      <c r="BF624" t="str">
        <f>HYPERLINK("http://dx.doi.org/10.1099/ijs.0.03006-0","http://dx.doi.org/10.1099/ijs.0.03006-0")</f>
        <v>http://dx.doi.org/10.1099/ijs.0.03006-0</v>
      </c>
      <c r="BG624" t="s">
        <v>74</v>
      </c>
      <c r="BH624" t="s">
        <v>74</v>
      </c>
      <c r="BI624">
        <v>7</v>
      </c>
      <c r="BJ624" t="s">
        <v>1536</v>
      </c>
      <c r="BK624" t="s">
        <v>139</v>
      </c>
      <c r="BL624" t="s">
        <v>1536</v>
      </c>
      <c r="BM624" t="s">
        <v>9135</v>
      </c>
      <c r="BN624">
        <v>15280301</v>
      </c>
      <c r="BO624" t="s">
        <v>273</v>
      </c>
      <c r="BP624" t="s">
        <v>74</v>
      </c>
      <c r="BQ624" t="s">
        <v>74</v>
      </c>
      <c r="BR624" t="s">
        <v>98</v>
      </c>
      <c r="BS624" t="s">
        <v>9151</v>
      </c>
      <c r="BT624" t="str">
        <f>HYPERLINK("https%3A%2F%2Fwww.webofscience.com%2Fwos%2Fwoscc%2Ffull-record%2FWOS:000223151800039","View Full Record in Web of Science")</f>
        <v>View Full Record in Web of Science</v>
      </c>
    </row>
    <row r="625" spans="1:72" x14ac:dyDescent="0.15">
      <c r="A625" t="s">
        <v>122</v>
      </c>
      <c r="B625" t="s">
        <v>9152</v>
      </c>
      <c r="C625" t="s">
        <v>74</v>
      </c>
      <c r="D625" t="s">
        <v>74</v>
      </c>
      <c r="E625" t="s">
        <v>74</v>
      </c>
      <c r="F625" t="s">
        <v>9152</v>
      </c>
      <c r="G625" t="s">
        <v>74</v>
      </c>
      <c r="H625" t="s">
        <v>74</v>
      </c>
      <c r="I625" t="s">
        <v>9153</v>
      </c>
      <c r="J625" t="s">
        <v>3311</v>
      </c>
      <c r="K625" t="s">
        <v>74</v>
      </c>
      <c r="L625" t="s">
        <v>74</v>
      </c>
      <c r="M625" t="s">
        <v>79</v>
      </c>
      <c r="N625" t="s">
        <v>126</v>
      </c>
      <c r="O625" t="s">
        <v>74</v>
      </c>
      <c r="P625" t="s">
        <v>74</v>
      </c>
      <c r="Q625" t="s">
        <v>74</v>
      </c>
      <c r="R625" t="s">
        <v>74</v>
      </c>
      <c r="S625" t="s">
        <v>74</v>
      </c>
      <c r="T625" t="s">
        <v>74</v>
      </c>
      <c r="U625" t="s">
        <v>9154</v>
      </c>
      <c r="V625" t="s">
        <v>9155</v>
      </c>
      <c r="W625" t="s">
        <v>9156</v>
      </c>
      <c r="X625" t="s">
        <v>9157</v>
      </c>
      <c r="Y625" t="s">
        <v>9158</v>
      </c>
      <c r="Z625" t="s">
        <v>9159</v>
      </c>
      <c r="AA625" t="s">
        <v>9160</v>
      </c>
      <c r="AB625" t="s">
        <v>74</v>
      </c>
      <c r="AC625" t="s">
        <v>74</v>
      </c>
      <c r="AD625" t="s">
        <v>74</v>
      </c>
      <c r="AE625" t="s">
        <v>74</v>
      </c>
      <c r="AF625" t="s">
        <v>74</v>
      </c>
      <c r="AG625">
        <v>31</v>
      </c>
      <c r="AH625">
        <v>5</v>
      </c>
      <c r="AI625">
        <v>5</v>
      </c>
      <c r="AJ625">
        <v>0</v>
      </c>
      <c r="AK625">
        <v>2</v>
      </c>
      <c r="AL625" t="s">
        <v>1229</v>
      </c>
      <c r="AM625" t="s">
        <v>613</v>
      </c>
      <c r="AN625" t="s">
        <v>1230</v>
      </c>
      <c r="AO625" t="s">
        <v>3319</v>
      </c>
      <c r="AP625" t="s">
        <v>3320</v>
      </c>
      <c r="AQ625" t="s">
        <v>74</v>
      </c>
      <c r="AR625" t="s">
        <v>3321</v>
      </c>
      <c r="AS625" t="s">
        <v>3322</v>
      </c>
      <c r="AT625" t="s">
        <v>8757</v>
      </c>
      <c r="AU625">
        <v>2004</v>
      </c>
      <c r="AV625">
        <v>40</v>
      </c>
      <c r="AW625">
        <v>4</v>
      </c>
      <c r="AX625" t="s">
        <v>74</v>
      </c>
      <c r="AY625" t="s">
        <v>74</v>
      </c>
      <c r="AZ625" t="s">
        <v>74</v>
      </c>
      <c r="BA625" t="s">
        <v>74</v>
      </c>
      <c r="BB625">
        <v>381</v>
      </c>
      <c r="BC625">
        <v>393</v>
      </c>
      <c r="BD625" t="s">
        <v>74</v>
      </c>
      <c r="BE625" t="s">
        <v>74</v>
      </c>
      <c r="BF625" t="s">
        <v>74</v>
      </c>
      <c r="BG625" t="s">
        <v>74</v>
      </c>
      <c r="BH625" t="s">
        <v>74</v>
      </c>
      <c r="BI625">
        <v>13</v>
      </c>
      <c r="BJ625" t="s">
        <v>3323</v>
      </c>
      <c r="BK625" t="s">
        <v>139</v>
      </c>
      <c r="BL625" t="s">
        <v>3323</v>
      </c>
      <c r="BM625" t="s">
        <v>9161</v>
      </c>
      <c r="BN625" t="s">
        <v>74</v>
      </c>
      <c r="BO625" t="s">
        <v>74</v>
      </c>
      <c r="BP625" t="s">
        <v>74</v>
      </c>
      <c r="BQ625" t="s">
        <v>74</v>
      </c>
      <c r="BR625" t="s">
        <v>98</v>
      </c>
      <c r="BS625" t="s">
        <v>9162</v>
      </c>
      <c r="BT625" t="str">
        <f>HYPERLINK("https%3A%2F%2Fwww.webofscience.com%2Fwos%2Fwoscc%2Ffull-record%2FWOS:000223391100001","View Full Record in Web of Science")</f>
        <v>View Full Record in Web of Science</v>
      </c>
    </row>
    <row r="626" spans="1:72" x14ac:dyDescent="0.15">
      <c r="A626" t="s">
        <v>122</v>
      </c>
      <c r="B626" t="s">
        <v>9163</v>
      </c>
      <c r="C626" t="s">
        <v>74</v>
      </c>
      <c r="D626" t="s">
        <v>74</v>
      </c>
      <c r="E626" t="s">
        <v>74</v>
      </c>
      <c r="F626" t="s">
        <v>9163</v>
      </c>
      <c r="G626" t="s">
        <v>74</v>
      </c>
      <c r="H626" t="s">
        <v>74</v>
      </c>
      <c r="I626" t="s">
        <v>9164</v>
      </c>
      <c r="J626" t="s">
        <v>9165</v>
      </c>
      <c r="K626" t="s">
        <v>74</v>
      </c>
      <c r="L626" t="s">
        <v>74</v>
      </c>
      <c r="M626" t="s">
        <v>79</v>
      </c>
      <c r="N626" t="s">
        <v>126</v>
      </c>
      <c r="O626" t="s">
        <v>74</v>
      </c>
      <c r="P626" t="s">
        <v>74</v>
      </c>
      <c r="Q626" t="s">
        <v>74</v>
      </c>
      <c r="R626" t="s">
        <v>74</v>
      </c>
      <c r="S626" t="s">
        <v>74</v>
      </c>
      <c r="T626" t="s">
        <v>74</v>
      </c>
      <c r="U626" t="s">
        <v>9166</v>
      </c>
      <c r="V626" t="s">
        <v>9167</v>
      </c>
      <c r="W626" t="s">
        <v>9168</v>
      </c>
      <c r="X626" t="s">
        <v>9169</v>
      </c>
      <c r="Y626" t="s">
        <v>9170</v>
      </c>
      <c r="Z626" t="s">
        <v>9171</v>
      </c>
      <c r="AA626" t="s">
        <v>9172</v>
      </c>
      <c r="AB626" t="s">
        <v>9173</v>
      </c>
      <c r="AC626" t="s">
        <v>74</v>
      </c>
      <c r="AD626" t="s">
        <v>74</v>
      </c>
      <c r="AE626" t="s">
        <v>74</v>
      </c>
      <c r="AF626" t="s">
        <v>74</v>
      </c>
      <c r="AG626">
        <v>42</v>
      </c>
      <c r="AH626">
        <v>20</v>
      </c>
      <c r="AI626">
        <v>23</v>
      </c>
      <c r="AJ626">
        <v>0</v>
      </c>
      <c r="AK626">
        <v>14</v>
      </c>
      <c r="AL626" t="s">
        <v>9174</v>
      </c>
      <c r="AM626" t="s">
        <v>9175</v>
      </c>
      <c r="AN626" t="s">
        <v>9176</v>
      </c>
      <c r="AO626" t="s">
        <v>9177</v>
      </c>
      <c r="AP626" t="s">
        <v>74</v>
      </c>
      <c r="AQ626" t="s">
        <v>74</v>
      </c>
      <c r="AR626" t="s">
        <v>9178</v>
      </c>
      <c r="AS626" t="s">
        <v>9179</v>
      </c>
      <c r="AT626" t="s">
        <v>8496</v>
      </c>
      <c r="AU626">
        <v>2004</v>
      </c>
      <c r="AV626">
        <v>35</v>
      </c>
      <c r="AW626">
        <v>4</v>
      </c>
      <c r="AX626" t="s">
        <v>74</v>
      </c>
      <c r="AY626" t="s">
        <v>74</v>
      </c>
      <c r="AZ626" t="s">
        <v>74</v>
      </c>
      <c r="BA626" t="s">
        <v>74</v>
      </c>
      <c r="BB626">
        <v>370</v>
      </c>
      <c r="BC626">
        <v>376</v>
      </c>
      <c r="BD626" t="s">
        <v>74</v>
      </c>
      <c r="BE626" t="s">
        <v>9180</v>
      </c>
      <c r="BF626" t="str">
        <f>HYPERLINK("http://dx.doi.org/10.1111/j.0908-8857.2004.03281.x","http://dx.doi.org/10.1111/j.0908-8857.2004.03281.x")</f>
        <v>http://dx.doi.org/10.1111/j.0908-8857.2004.03281.x</v>
      </c>
      <c r="BG626" t="s">
        <v>74</v>
      </c>
      <c r="BH626" t="s">
        <v>74</v>
      </c>
      <c r="BI626">
        <v>7</v>
      </c>
      <c r="BJ626" t="s">
        <v>2055</v>
      </c>
      <c r="BK626" t="s">
        <v>139</v>
      </c>
      <c r="BL626" t="s">
        <v>205</v>
      </c>
      <c r="BM626" t="s">
        <v>9181</v>
      </c>
      <c r="BN626" t="s">
        <v>74</v>
      </c>
      <c r="BO626" t="s">
        <v>74</v>
      </c>
      <c r="BP626" t="s">
        <v>74</v>
      </c>
      <c r="BQ626" t="s">
        <v>74</v>
      </c>
      <c r="BR626" t="s">
        <v>98</v>
      </c>
      <c r="BS626" t="s">
        <v>9182</v>
      </c>
      <c r="BT626" t="str">
        <f>HYPERLINK("https%3A%2F%2Fwww.webofscience.com%2Fwos%2Fwoscc%2Ffull-record%2FWOS:000223085900012","View Full Record in Web of Science")</f>
        <v>View Full Record in Web of Science</v>
      </c>
    </row>
    <row r="627" spans="1:72" x14ac:dyDescent="0.15">
      <c r="A627" t="s">
        <v>122</v>
      </c>
      <c r="B627" t="s">
        <v>9183</v>
      </c>
      <c r="C627" t="s">
        <v>74</v>
      </c>
      <c r="D627" t="s">
        <v>74</v>
      </c>
      <c r="E627" t="s">
        <v>74</v>
      </c>
      <c r="F627" t="s">
        <v>9183</v>
      </c>
      <c r="G627" t="s">
        <v>74</v>
      </c>
      <c r="H627" t="s">
        <v>74</v>
      </c>
      <c r="I627" t="s">
        <v>9184</v>
      </c>
      <c r="J627" t="s">
        <v>1562</v>
      </c>
      <c r="K627" t="s">
        <v>74</v>
      </c>
      <c r="L627" t="s">
        <v>74</v>
      </c>
      <c r="M627" t="s">
        <v>79</v>
      </c>
      <c r="N627" t="s">
        <v>126</v>
      </c>
      <c r="O627" t="s">
        <v>74</v>
      </c>
      <c r="P627" t="s">
        <v>74</v>
      </c>
      <c r="Q627" t="s">
        <v>74</v>
      </c>
      <c r="R627" t="s">
        <v>74</v>
      </c>
      <c r="S627" t="s">
        <v>74</v>
      </c>
      <c r="T627" t="s">
        <v>74</v>
      </c>
      <c r="U627" t="s">
        <v>9185</v>
      </c>
      <c r="V627" t="s">
        <v>9186</v>
      </c>
      <c r="W627" t="s">
        <v>9187</v>
      </c>
      <c r="X627" t="s">
        <v>9188</v>
      </c>
      <c r="Y627" t="s">
        <v>2491</v>
      </c>
      <c r="Z627" t="s">
        <v>9189</v>
      </c>
      <c r="AA627" t="s">
        <v>9190</v>
      </c>
      <c r="AB627" t="s">
        <v>9191</v>
      </c>
      <c r="AC627" t="s">
        <v>74</v>
      </c>
      <c r="AD627" t="s">
        <v>74</v>
      </c>
      <c r="AE627" t="s">
        <v>74</v>
      </c>
      <c r="AF627" t="s">
        <v>74</v>
      </c>
      <c r="AG627">
        <v>69</v>
      </c>
      <c r="AH627">
        <v>481</v>
      </c>
      <c r="AI627">
        <v>540</v>
      </c>
      <c r="AJ627">
        <v>0</v>
      </c>
      <c r="AK627">
        <v>86</v>
      </c>
      <c r="AL627" t="s">
        <v>1571</v>
      </c>
      <c r="AM627" t="s">
        <v>1572</v>
      </c>
      <c r="AN627" t="s">
        <v>1573</v>
      </c>
      <c r="AO627" t="s">
        <v>1574</v>
      </c>
      <c r="AP627" t="s">
        <v>1575</v>
      </c>
      <c r="AQ627" t="s">
        <v>74</v>
      </c>
      <c r="AR627" t="s">
        <v>1576</v>
      </c>
      <c r="AS627" t="s">
        <v>1577</v>
      </c>
      <c r="AT627" t="s">
        <v>8496</v>
      </c>
      <c r="AU627">
        <v>2004</v>
      </c>
      <c r="AV627">
        <v>17</v>
      </c>
      <c r="AW627">
        <v>13</v>
      </c>
      <c r="AX627" t="s">
        <v>74</v>
      </c>
      <c r="AY627" t="s">
        <v>74</v>
      </c>
      <c r="AZ627" t="s">
        <v>74</v>
      </c>
      <c r="BA627" t="s">
        <v>74</v>
      </c>
      <c r="BB627">
        <v>2609</v>
      </c>
      <c r="BC627">
        <v>2625</v>
      </c>
      <c r="BD627" t="s">
        <v>74</v>
      </c>
      <c r="BE627" t="s">
        <v>9192</v>
      </c>
      <c r="BF627" t="str">
        <f>HYPERLINK("http://dx.doi.org/10.1175/1520-0442(2004)017&lt;2609:EOTRDO&gt;2.0.CO;2","http://dx.doi.org/10.1175/1520-0442(2004)017&lt;2609:EOTRDO&gt;2.0.CO;2")</f>
        <v>http://dx.doi.org/10.1175/1520-0442(2004)017&lt;2609:EOTRDO&gt;2.0.CO;2</v>
      </c>
      <c r="BG627" t="s">
        <v>74</v>
      </c>
      <c r="BH627" t="s">
        <v>74</v>
      </c>
      <c r="BI627">
        <v>17</v>
      </c>
      <c r="BJ627" t="s">
        <v>291</v>
      </c>
      <c r="BK627" t="s">
        <v>139</v>
      </c>
      <c r="BL627" t="s">
        <v>291</v>
      </c>
      <c r="BM627" t="s">
        <v>9193</v>
      </c>
      <c r="BN627" t="s">
        <v>74</v>
      </c>
      <c r="BO627" t="s">
        <v>9194</v>
      </c>
      <c r="BP627" t="s">
        <v>74</v>
      </c>
      <c r="BQ627" t="s">
        <v>74</v>
      </c>
      <c r="BR627" t="s">
        <v>98</v>
      </c>
      <c r="BS627" t="s">
        <v>9195</v>
      </c>
      <c r="BT627" t="str">
        <f>HYPERLINK("https%3A%2F%2Fwww.webofscience.com%2Fwos%2Fwoscc%2Ffull-record%2FWOS:000222703800008","View Full Record in Web of Science")</f>
        <v>View Full Record in Web of Science</v>
      </c>
    </row>
    <row r="628" spans="1:72" x14ac:dyDescent="0.15">
      <c r="A628" t="s">
        <v>122</v>
      </c>
      <c r="B628" t="s">
        <v>9196</v>
      </c>
      <c r="C628" t="s">
        <v>74</v>
      </c>
      <c r="D628" t="s">
        <v>74</v>
      </c>
      <c r="E628" t="s">
        <v>74</v>
      </c>
      <c r="F628" t="s">
        <v>9196</v>
      </c>
      <c r="G628" t="s">
        <v>74</v>
      </c>
      <c r="H628" t="s">
        <v>74</v>
      </c>
      <c r="I628" t="s">
        <v>9197</v>
      </c>
      <c r="J628" t="s">
        <v>1562</v>
      </c>
      <c r="K628" t="s">
        <v>74</v>
      </c>
      <c r="L628" t="s">
        <v>74</v>
      </c>
      <c r="M628" t="s">
        <v>79</v>
      </c>
      <c r="N628" t="s">
        <v>126</v>
      </c>
      <c r="O628" t="s">
        <v>74</v>
      </c>
      <c r="P628" t="s">
        <v>74</v>
      </c>
      <c r="Q628" t="s">
        <v>74</v>
      </c>
      <c r="R628" t="s">
        <v>74</v>
      </c>
      <c r="S628" t="s">
        <v>74</v>
      </c>
      <c r="T628" t="s">
        <v>74</v>
      </c>
      <c r="U628" t="s">
        <v>9198</v>
      </c>
      <c r="V628" t="s">
        <v>9199</v>
      </c>
      <c r="W628" t="s">
        <v>9200</v>
      </c>
      <c r="X628" t="s">
        <v>9201</v>
      </c>
      <c r="Y628" t="s">
        <v>5043</v>
      </c>
      <c r="Z628" t="s">
        <v>9202</v>
      </c>
      <c r="AA628" t="s">
        <v>74</v>
      </c>
      <c r="AB628" t="s">
        <v>974</v>
      </c>
      <c r="AC628" t="s">
        <v>74</v>
      </c>
      <c r="AD628" t="s">
        <v>74</v>
      </c>
      <c r="AE628" t="s">
        <v>74</v>
      </c>
      <c r="AF628" t="s">
        <v>74</v>
      </c>
      <c r="AG628">
        <v>29</v>
      </c>
      <c r="AH628">
        <v>26</v>
      </c>
      <c r="AI628">
        <v>28</v>
      </c>
      <c r="AJ628">
        <v>1</v>
      </c>
      <c r="AK628">
        <v>6</v>
      </c>
      <c r="AL628" t="s">
        <v>1571</v>
      </c>
      <c r="AM628" t="s">
        <v>1572</v>
      </c>
      <c r="AN628" t="s">
        <v>4872</v>
      </c>
      <c r="AO628" t="s">
        <v>1574</v>
      </c>
      <c r="AP628" t="s">
        <v>1575</v>
      </c>
      <c r="AQ628" t="s">
        <v>74</v>
      </c>
      <c r="AR628" t="s">
        <v>1576</v>
      </c>
      <c r="AS628" t="s">
        <v>1577</v>
      </c>
      <c r="AT628" t="s">
        <v>8496</v>
      </c>
      <c r="AU628">
        <v>2004</v>
      </c>
      <c r="AV628">
        <v>17</v>
      </c>
      <c r="AW628">
        <v>14</v>
      </c>
      <c r="AX628" t="s">
        <v>74</v>
      </c>
      <c r="AY628" t="s">
        <v>74</v>
      </c>
      <c r="AZ628" t="s">
        <v>74</v>
      </c>
      <c r="BA628" t="s">
        <v>74</v>
      </c>
      <c r="BB628">
        <v>2765</v>
      </c>
      <c r="BC628">
        <v>2779</v>
      </c>
      <c r="BD628" t="s">
        <v>74</v>
      </c>
      <c r="BE628" t="s">
        <v>9203</v>
      </c>
      <c r="BF628" t="str">
        <f>HYPERLINK("http://dx.doi.org/10.1175/1520-0442(2004)017&lt;2765:TRITAC&gt;2.0.CO;2","http://dx.doi.org/10.1175/1520-0442(2004)017&lt;2765:TRITAC&gt;2.0.CO;2")</f>
        <v>http://dx.doi.org/10.1175/1520-0442(2004)017&lt;2765:TRITAC&gt;2.0.CO;2</v>
      </c>
      <c r="BG628" t="s">
        <v>74</v>
      </c>
      <c r="BH628" t="s">
        <v>74</v>
      </c>
      <c r="BI628">
        <v>15</v>
      </c>
      <c r="BJ628" t="s">
        <v>291</v>
      </c>
      <c r="BK628" t="s">
        <v>139</v>
      </c>
      <c r="BL628" t="s">
        <v>291</v>
      </c>
      <c r="BM628" t="s">
        <v>9204</v>
      </c>
      <c r="BN628" t="s">
        <v>74</v>
      </c>
      <c r="BO628" t="s">
        <v>2236</v>
      </c>
      <c r="BP628" t="s">
        <v>74</v>
      </c>
      <c r="BQ628" t="s">
        <v>74</v>
      </c>
      <c r="BR628" t="s">
        <v>98</v>
      </c>
      <c r="BS628" t="s">
        <v>9205</v>
      </c>
      <c r="BT628" t="str">
        <f>HYPERLINK("https%3A%2F%2Fwww.webofscience.com%2Fwos%2Fwoscc%2Ffull-record%2FWOS:000222791100004","View Full Record in Web of Science")</f>
        <v>View Full Record in Web of Science</v>
      </c>
    </row>
    <row r="629" spans="1:72" x14ac:dyDescent="0.15">
      <c r="A629" t="s">
        <v>122</v>
      </c>
      <c r="B629" t="s">
        <v>9206</v>
      </c>
      <c r="C629" t="s">
        <v>74</v>
      </c>
      <c r="D629" t="s">
        <v>74</v>
      </c>
      <c r="E629" t="s">
        <v>74</v>
      </c>
      <c r="F629" t="s">
        <v>9206</v>
      </c>
      <c r="G629" t="s">
        <v>74</v>
      </c>
      <c r="H629" t="s">
        <v>74</v>
      </c>
      <c r="I629" t="s">
        <v>9207</v>
      </c>
      <c r="J629" t="s">
        <v>1562</v>
      </c>
      <c r="K629" t="s">
        <v>74</v>
      </c>
      <c r="L629" t="s">
        <v>74</v>
      </c>
      <c r="M629" t="s">
        <v>79</v>
      </c>
      <c r="N629" t="s">
        <v>126</v>
      </c>
      <c r="O629" t="s">
        <v>74</v>
      </c>
      <c r="P629" t="s">
        <v>74</v>
      </c>
      <c r="Q629" t="s">
        <v>74</v>
      </c>
      <c r="R629" t="s">
        <v>74</v>
      </c>
      <c r="S629" t="s">
        <v>74</v>
      </c>
      <c r="T629" t="s">
        <v>74</v>
      </c>
      <c r="U629" t="s">
        <v>9208</v>
      </c>
      <c r="V629" t="s">
        <v>9209</v>
      </c>
      <c r="W629" t="s">
        <v>9210</v>
      </c>
      <c r="X629" t="s">
        <v>9211</v>
      </c>
      <c r="Y629" t="s">
        <v>9212</v>
      </c>
      <c r="Z629" t="s">
        <v>9213</v>
      </c>
      <c r="AA629" t="s">
        <v>9214</v>
      </c>
      <c r="AB629" t="s">
        <v>9215</v>
      </c>
      <c r="AC629" t="s">
        <v>74</v>
      </c>
      <c r="AD629" t="s">
        <v>74</v>
      </c>
      <c r="AE629" t="s">
        <v>74</v>
      </c>
      <c r="AF629" t="s">
        <v>74</v>
      </c>
      <c r="AG629">
        <v>18</v>
      </c>
      <c r="AH629">
        <v>195</v>
      </c>
      <c r="AI629">
        <v>211</v>
      </c>
      <c r="AJ629">
        <v>2</v>
      </c>
      <c r="AK629">
        <v>17</v>
      </c>
      <c r="AL629" t="s">
        <v>1571</v>
      </c>
      <c r="AM629" t="s">
        <v>1572</v>
      </c>
      <c r="AN629" t="s">
        <v>1573</v>
      </c>
      <c r="AO629" t="s">
        <v>1574</v>
      </c>
      <c r="AP629" t="s">
        <v>74</v>
      </c>
      <c r="AQ629" t="s">
        <v>74</v>
      </c>
      <c r="AR629" t="s">
        <v>1576</v>
      </c>
      <c r="AS629" t="s">
        <v>1577</v>
      </c>
      <c r="AT629" t="s">
        <v>8496</v>
      </c>
      <c r="AU629">
        <v>2004</v>
      </c>
      <c r="AV629">
        <v>17</v>
      </c>
      <c r="AW629">
        <v>14</v>
      </c>
      <c r="AX629" t="s">
        <v>74</v>
      </c>
      <c r="AY629" t="s">
        <v>74</v>
      </c>
      <c r="AZ629" t="s">
        <v>74</v>
      </c>
      <c r="BA629" t="s">
        <v>74</v>
      </c>
      <c r="BB629">
        <v>2890</v>
      </c>
      <c r="BC629">
        <v>2898</v>
      </c>
      <c r="BD629" t="s">
        <v>74</v>
      </c>
      <c r="BE629" t="s">
        <v>9216</v>
      </c>
      <c r="BF629" t="str">
        <f>HYPERLINK("http://dx.doi.org/10.1175/1520-0442(2004)017&lt;2890:TSRPTA&gt;2.0.CO;2","http://dx.doi.org/10.1175/1520-0442(2004)017&lt;2890:TSRPTA&gt;2.0.CO;2")</f>
        <v>http://dx.doi.org/10.1175/1520-0442(2004)017&lt;2890:TSRPTA&gt;2.0.CO;2</v>
      </c>
      <c r="BG629" t="s">
        <v>74</v>
      </c>
      <c r="BH629" t="s">
        <v>74</v>
      </c>
      <c r="BI629">
        <v>9</v>
      </c>
      <c r="BJ629" t="s">
        <v>291</v>
      </c>
      <c r="BK629" t="s">
        <v>139</v>
      </c>
      <c r="BL629" t="s">
        <v>291</v>
      </c>
      <c r="BM629" t="s">
        <v>9204</v>
      </c>
      <c r="BN629" t="s">
        <v>74</v>
      </c>
      <c r="BO629" t="s">
        <v>273</v>
      </c>
      <c r="BP629" t="s">
        <v>74</v>
      </c>
      <c r="BQ629" t="s">
        <v>74</v>
      </c>
      <c r="BR629" t="s">
        <v>98</v>
      </c>
      <c r="BS629" t="s">
        <v>9217</v>
      </c>
      <c r="BT629" t="str">
        <f>HYPERLINK("https%3A%2F%2Fwww.webofscience.com%2Fwos%2Fwoscc%2Ffull-record%2FWOS:000222791100013","View Full Record in Web of Science")</f>
        <v>View Full Record in Web of Science</v>
      </c>
    </row>
    <row r="630" spans="1:72" x14ac:dyDescent="0.15">
      <c r="A630" t="s">
        <v>122</v>
      </c>
      <c r="B630" t="s">
        <v>9218</v>
      </c>
      <c r="C630" t="s">
        <v>74</v>
      </c>
      <c r="D630" t="s">
        <v>74</v>
      </c>
      <c r="E630" t="s">
        <v>74</v>
      </c>
      <c r="F630" t="s">
        <v>9218</v>
      </c>
      <c r="G630" t="s">
        <v>74</v>
      </c>
      <c r="H630" t="s">
        <v>74</v>
      </c>
      <c r="I630" t="s">
        <v>9219</v>
      </c>
      <c r="J630" t="s">
        <v>9220</v>
      </c>
      <c r="K630" t="s">
        <v>74</v>
      </c>
      <c r="L630" t="s">
        <v>74</v>
      </c>
      <c r="M630" t="s">
        <v>79</v>
      </c>
      <c r="N630" t="s">
        <v>126</v>
      </c>
      <c r="O630" t="s">
        <v>74</v>
      </c>
      <c r="P630" t="s">
        <v>74</v>
      </c>
      <c r="Q630" t="s">
        <v>74</v>
      </c>
      <c r="R630" t="s">
        <v>74</v>
      </c>
      <c r="S630" t="s">
        <v>74</v>
      </c>
      <c r="T630" t="s">
        <v>74</v>
      </c>
      <c r="U630" t="s">
        <v>9221</v>
      </c>
      <c r="V630" t="s">
        <v>9222</v>
      </c>
      <c r="W630" t="s">
        <v>9223</v>
      </c>
      <c r="X630" t="s">
        <v>9224</v>
      </c>
      <c r="Y630" t="s">
        <v>9225</v>
      </c>
      <c r="Z630" t="s">
        <v>9226</v>
      </c>
      <c r="AA630" t="s">
        <v>9227</v>
      </c>
      <c r="AB630" t="s">
        <v>9228</v>
      </c>
      <c r="AC630" t="s">
        <v>74</v>
      </c>
      <c r="AD630" t="s">
        <v>74</v>
      </c>
      <c r="AE630" t="s">
        <v>74</v>
      </c>
      <c r="AF630" t="s">
        <v>74</v>
      </c>
      <c r="AG630">
        <v>38</v>
      </c>
      <c r="AH630">
        <v>68</v>
      </c>
      <c r="AI630">
        <v>85</v>
      </c>
      <c r="AJ630">
        <v>0</v>
      </c>
      <c r="AK630">
        <v>7</v>
      </c>
      <c r="AL630" t="s">
        <v>5447</v>
      </c>
      <c r="AM630" t="s">
        <v>5448</v>
      </c>
      <c r="AN630" t="s">
        <v>5449</v>
      </c>
      <c r="AO630" t="s">
        <v>9229</v>
      </c>
      <c r="AP630" t="s">
        <v>9230</v>
      </c>
      <c r="AQ630" t="s">
        <v>74</v>
      </c>
      <c r="AR630" t="s">
        <v>9231</v>
      </c>
      <c r="AS630" t="s">
        <v>9232</v>
      </c>
      <c r="AT630" t="s">
        <v>8496</v>
      </c>
      <c r="AU630">
        <v>2004</v>
      </c>
      <c r="AV630">
        <v>112</v>
      </c>
      <c r="AW630">
        <v>4</v>
      </c>
      <c r="AX630" t="s">
        <v>74</v>
      </c>
      <c r="AY630" t="s">
        <v>74</v>
      </c>
      <c r="AZ630" t="s">
        <v>74</v>
      </c>
      <c r="BA630" t="s">
        <v>74</v>
      </c>
      <c r="BB630">
        <v>487</v>
      </c>
      <c r="BC630">
        <v>494</v>
      </c>
      <c r="BD630" t="s">
        <v>74</v>
      </c>
      <c r="BE630" t="s">
        <v>9233</v>
      </c>
      <c r="BF630" t="str">
        <f>HYPERLINK("http://dx.doi.org/10.1086/421076","http://dx.doi.org/10.1086/421076")</f>
        <v>http://dx.doi.org/10.1086/421076</v>
      </c>
      <c r="BG630" t="s">
        <v>74</v>
      </c>
      <c r="BH630" t="s">
        <v>74</v>
      </c>
      <c r="BI630">
        <v>8</v>
      </c>
      <c r="BJ630" t="s">
        <v>249</v>
      </c>
      <c r="BK630" t="s">
        <v>139</v>
      </c>
      <c r="BL630" t="s">
        <v>249</v>
      </c>
      <c r="BM630" t="s">
        <v>9234</v>
      </c>
      <c r="BN630" t="s">
        <v>74</v>
      </c>
      <c r="BO630" t="s">
        <v>329</v>
      </c>
      <c r="BP630" t="s">
        <v>74</v>
      </c>
      <c r="BQ630" t="s">
        <v>74</v>
      </c>
      <c r="BR630" t="s">
        <v>98</v>
      </c>
      <c r="BS630" t="s">
        <v>9235</v>
      </c>
      <c r="BT630" t="str">
        <f>HYPERLINK("https%3A%2F%2Fwww.webofscience.com%2Fwos%2Fwoscc%2Ffull-record%2FWOS:000222703100007","View Full Record in Web of Science")</f>
        <v>View Full Record in Web of Science</v>
      </c>
    </row>
    <row r="631" spans="1:72" x14ac:dyDescent="0.15">
      <c r="A631" t="s">
        <v>122</v>
      </c>
      <c r="B631" t="s">
        <v>9236</v>
      </c>
      <c r="C631" t="s">
        <v>74</v>
      </c>
      <c r="D631" t="s">
        <v>74</v>
      </c>
      <c r="E631" t="s">
        <v>74</v>
      </c>
      <c r="F631" t="s">
        <v>9236</v>
      </c>
      <c r="G631" t="s">
        <v>74</v>
      </c>
      <c r="H631" t="s">
        <v>74</v>
      </c>
      <c r="I631" t="s">
        <v>9237</v>
      </c>
      <c r="J631" t="s">
        <v>4632</v>
      </c>
      <c r="K631" t="s">
        <v>74</v>
      </c>
      <c r="L631" t="s">
        <v>74</v>
      </c>
      <c r="M631" t="s">
        <v>79</v>
      </c>
      <c r="N631" t="s">
        <v>1129</v>
      </c>
      <c r="O631" t="s">
        <v>9238</v>
      </c>
      <c r="P631" t="s">
        <v>9239</v>
      </c>
      <c r="Q631" t="s">
        <v>9240</v>
      </c>
      <c r="R631" t="s">
        <v>74</v>
      </c>
      <c r="S631" t="s">
        <v>74</v>
      </c>
      <c r="T631" t="s">
        <v>9241</v>
      </c>
      <c r="U631" t="s">
        <v>9242</v>
      </c>
      <c r="V631" t="s">
        <v>9243</v>
      </c>
      <c r="W631" t="s">
        <v>9244</v>
      </c>
      <c r="X631" t="s">
        <v>9245</v>
      </c>
      <c r="Y631" t="s">
        <v>9246</v>
      </c>
      <c r="Z631" t="s">
        <v>9247</v>
      </c>
      <c r="AA631" t="s">
        <v>9248</v>
      </c>
      <c r="AB631" t="s">
        <v>9249</v>
      </c>
      <c r="AC631" t="s">
        <v>74</v>
      </c>
      <c r="AD631" t="s">
        <v>74</v>
      </c>
      <c r="AE631" t="s">
        <v>74</v>
      </c>
      <c r="AF631" t="s">
        <v>74</v>
      </c>
      <c r="AG631">
        <v>32</v>
      </c>
      <c r="AH631">
        <v>3</v>
      </c>
      <c r="AI631">
        <v>3</v>
      </c>
      <c r="AJ631">
        <v>0</v>
      </c>
      <c r="AK631">
        <v>4</v>
      </c>
      <c r="AL631" t="s">
        <v>562</v>
      </c>
      <c r="AM631" t="s">
        <v>532</v>
      </c>
      <c r="AN631" t="s">
        <v>563</v>
      </c>
      <c r="AO631" t="s">
        <v>4640</v>
      </c>
      <c r="AP631" t="s">
        <v>74</v>
      </c>
      <c r="AQ631" t="s">
        <v>74</v>
      </c>
      <c r="AR631" t="s">
        <v>4641</v>
      </c>
      <c r="AS631" t="s">
        <v>4642</v>
      </c>
      <c r="AT631" t="s">
        <v>8496</v>
      </c>
      <c r="AU631">
        <v>2004</v>
      </c>
      <c r="AV631">
        <v>48</v>
      </c>
      <c r="AW631" t="s">
        <v>595</v>
      </c>
      <c r="AX631" t="s">
        <v>74</v>
      </c>
      <c r="AY631" t="s">
        <v>74</v>
      </c>
      <c r="AZ631" t="s">
        <v>74</v>
      </c>
      <c r="BA631" t="s">
        <v>74</v>
      </c>
      <c r="BB631">
        <v>117</v>
      </c>
      <c r="BC631">
        <v>131</v>
      </c>
      <c r="BD631" t="s">
        <v>74</v>
      </c>
      <c r="BE631" t="s">
        <v>9250</v>
      </c>
      <c r="BF631" t="str">
        <f>HYPERLINK("http://dx.doi.org/10.1016/j.jmarsys.2003.05.002","http://dx.doi.org/10.1016/j.jmarsys.2003.05.002")</f>
        <v>http://dx.doi.org/10.1016/j.jmarsys.2003.05.002</v>
      </c>
      <c r="BG631" t="s">
        <v>74</v>
      </c>
      <c r="BH631" t="s">
        <v>74</v>
      </c>
      <c r="BI631">
        <v>15</v>
      </c>
      <c r="BJ631" t="s">
        <v>4644</v>
      </c>
      <c r="BK631" t="s">
        <v>1150</v>
      </c>
      <c r="BL631" t="s">
        <v>4645</v>
      </c>
      <c r="BM631" t="s">
        <v>9251</v>
      </c>
      <c r="BN631" t="s">
        <v>74</v>
      </c>
      <c r="BO631" t="s">
        <v>74</v>
      </c>
      <c r="BP631" t="s">
        <v>74</v>
      </c>
      <c r="BQ631" t="s">
        <v>74</v>
      </c>
      <c r="BR631" t="s">
        <v>98</v>
      </c>
      <c r="BS631" t="s">
        <v>9252</v>
      </c>
      <c r="BT631" t="str">
        <f>HYPERLINK("https%3A%2F%2Fwww.webofscience.com%2Fwos%2Fwoscc%2Ffull-record%2FWOS:000222617000009","View Full Record in Web of Science")</f>
        <v>View Full Record in Web of Science</v>
      </c>
    </row>
    <row r="632" spans="1:72" x14ac:dyDescent="0.15">
      <c r="A632" t="s">
        <v>122</v>
      </c>
      <c r="B632" t="s">
        <v>9253</v>
      </c>
      <c r="C632" t="s">
        <v>74</v>
      </c>
      <c r="D632" t="s">
        <v>74</v>
      </c>
      <c r="E632" t="s">
        <v>74</v>
      </c>
      <c r="F632" t="s">
        <v>9253</v>
      </c>
      <c r="G632" t="s">
        <v>74</v>
      </c>
      <c r="H632" t="s">
        <v>74</v>
      </c>
      <c r="I632" t="s">
        <v>9254</v>
      </c>
      <c r="J632" t="s">
        <v>4688</v>
      </c>
      <c r="K632" t="s">
        <v>74</v>
      </c>
      <c r="L632" t="s">
        <v>74</v>
      </c>
      <c r="M632" t="s">
        <v>79</v>
      </c>
      <c r="N632" t="s">
        <v>126</v>
      </c>
      <c r="O632" t="s">
        <v>74</v>
      </c>
      <c r="P632" t="s">
        <v>74</v>
      </c>
      <c r="Q632" t="s">
        <v>74</v>
      </c>
      <c r="R632" t="s">
        <v>74</v>
      </c>
      <c r="S632" t="s">
        <v>74</v>
      </c>
      <c r="T632" t="s">
        <v>74</v>
      </c>
      <c r="U632" t="s">
        <v>74</v>
      </c>
      <c r="V632" t="s">
        <v>9255</v>
      </c>
      <c r="W632" t="s">
        <v>9256</v>
      </c>
      <c r="X632" t="s">
        <v>9257</v>
      </c>
      <c r="Y632" t="s">
        <v>7818</v>
      </c>
      <c r="Z632" t="s">
        <v>7819</v>
      </c>
      <c r="AA632" t="s">
        <v>1369</v>
      </c>
      <c r="AB632" t="s">
        <v>4784</v>
      </c>
      <c r="AC632" t="s">
        <v>74</v>
      </c>
      <c r="AD632" t="s">
        <v>74</v>
      </c>
      <c r="AE632" t="s">
        <v>74</v>
      </c>
      <c r="AF632" t="s">
        <v>74</v>
      </c>
      <c r="AG632">
        <v>16</v>
      </c>
      <c r="AH632">
        <v>36</v>
      </c>
      <c r="AI632">
        <v>42</v>
      </c>
      <c r="AJ632">
        <v>0</v>
      </c>
      <c r="AK632">
        <v>11</v>
      </c>
      <c r="AL632" t="s">
        <v>2170</v>
      </c>
      <c r="AM632" t="s">
        <v>240</v>
      </c>
      <c r="AN632" t="s">
        <v>2171</v>
      </c>
      <c r="AO632" t="s">
        <v>4695</v>
      </c>
      <c r="AP632" t="s">
        <v>4696</v>
      </c>
      <c r="AQ632" t="s">
        <v>74</v>
      </c>
      <c r="AR632" t="s">
        <v>4697</v>
      </c>
      <c r="AS632" t="s">
        <v>4698</v>
      </c>
      <c r="AT632" t="s">
        <v>8496</v>
      </c>
      <c r="AU632">
        <v>2004</v>
      </c>
      <c r="AV632">
        <v>67</v>
      </c>
      <c r="AW632">
        <v>7</v>
      </c>
      <c r="AX632" t="s">
        <v>74</v>
      </c>
      <c r="AY632" t="s">
        <v>74</v>
      </c>
      <c r="AZ632" t="s">
        <v>74</v>
      </c>
      <c r="BA632" t="s">
        <v>74</v>
      </c>
      <c r="BB632">
        <v>1172</v>
      </c>
      <c r="BC632">
        <v>1174</v>
      </c>
      <c r="BD632" t="s">
        <v>74</v>
      </c>
      <c r="BE632" t="s">
        <v>9258</v>
      </c>
      <c r="BF632" t="str">
        <f>HYPERLINK("http://dx.doi.org/10.1021/np0340551","http://dx.doi.org/10.1021/np0340551")</f>
        <v>http://dx.doi.org/10.1021/np0340551</v>
      </c>
      <c r="BG632" t="s">
        <v>74</v>
      </c>
      <c r="BH632" t="s">
        <v>74</v>
      </c>
      <c r="BI632">
        <v>3</v>
      </c>
      <c r="BJ632" t="s">
        <v>4700</v>
      </c>
      <c r="BK632" t="s">
        <v>4701</v>
      </c>
      <c r="BL632" t="s">
        <v>4702</v>
      </c>
      <c r="BM632" t="s">
        <v>9259</v>
      </c>
      <c r="BN632">
        <v>15270575</v>
      </c>
      <c r="BO632" t="s">
        <v>74</v>
      </c>
      <c r="BP632" t="s">
        <v>74</v>
      </c>
      <c r="BQ632" t="s">
        <v>74</v>
      </c>
      <c r="BR632" t="s">
        <v>98</v>
      </c>
      <c r="BS632" t="s">
        <v>9260</v>
      </c>
      <c r="BT632" t="str">
        <f>HYPERLINK("https%3A%2F%2Fwww.webofscience.com%2Fwos%2Fwoscc%2Ffull-record%2FWOS:000222901000020","View Full Record in Web of Science")</f>
        <v>View Full Record in Web of Science</v>
      </c>
    </row>
    <row r="633" spans="1:72" x14ac:dyDescent="0.15">
      <c r="A633" t="s">
        <v>122</v>
      </c>
      <c r="B633" t="s">
        <v>9261</v>
      </c>
      <c r="C633" t="s">
        <v>74</v>
      </c>
      <c r="D633" t="s">
        <v>74</v>
      </c>
      <c r="E633" t="s">
        <v>74</v>
      </c>
      <c r="F633" t="s">
        <v>9261</v>
      </c>
      <c r="G633" t="s">
        <v>74</v>
      </c>
      <c r="H633" t="s">
        <v>74</v>
      </c>
      <c r="I633" t="s">
        <v>9262</v>
      </c>
      <c r="J633" t="s">
        <v>9263</v>
      </c>
      <c r="K633" t="s">
        <v>74</v>
      </c>
      <c r="L633" t="s">
        <v>74</v>
      </c>
      <c r="M633" t="s">
        <v>79</v>
      </c>
      <c r="N633" t="s">
        <v>126</v>
      </c>
      <c r="O633" t="s">
        <v>74</v>
      </c>
      <c r="P633" t="s">
        <v>74</v>
      </c>
      <c r="Q633" t="s">
        <v>74</v>
      </c>
      <c r="R633" t="s">
        <v>74</v>
      </c>
      <c r="S633" t="s">
        <v>74</v>
      </c>
      <c r="T633" t="s">
        <v>9264</v>
      </c>
      <c r="U633" t="s">
        <v>9265</v>
      </c>
      <c r="V633" t="s">
        <v>9266</v>
      </c>
      <c r="W633" t="s">
        <v>2323</v>
      </c>
      <c r="X633" t="s">
        <v>748</v>
      </c>
      <c r="Y633" t="s">
        <v>9267</v>
      </c>
      <c r="Z633" t="s">
        <v>9268</v>
      </c>
      <c r="AA633" t="s">
        <v>74</v>
      </c>
      <c r="AB633" t="s">
        <v>74</v>
      </c>
      <c r="AC633" t="s">
        <v>74</v>
      </c>
      <c r="AD633" t="s">
        <v>74</v>
      </c>
      <c r="AE633" t="s">
        <v>74</v>
      </c>
      <c r="AF633" t="s">
        <v>74</v>
      </c>
      <c r="AG633">
        <v>64</v>
      </c>
      <c r="AH633">
        <v>8</v>
      </c>
      <c r="AI633">
        <v>8</v>
      </c>
      <c r="AJ633">
        <v>0</v>
      </c>
      <c r="AK633">
        <v>8</v>
      </c>
      <c r="AL633" t="s">
        <v>196</v>
      </c>
      <c r="AM633" t="s">
        <v>197</v>
      </c>
      <c r="AN633" t="s">
        <v>198</v>
      </c>
      <c r="AO633" t="s">
        <v>9269</v>
      </c>
      <c r="AP633" t="s">
        <v>74</v>
      </c>
      <c r="AQ633" t="s">
        <v>74</v>
      </c>
      <c r="AR633" t="s">
        <v>9270</v>
      </c>
      <c r="AS633" t="s">
        <v>9271</v>
      </c>
      <c r="AT633" t="s">
        <v>8496</v>
      </c>
      <c r="AU633">
        <v>2004</v>
      </c>
      <c r="AV633">
        <v>45</v>
      </c>
      <c r="AW633">
        <v>7</v>
      </c>
      <c r="AX633" t="s">
        <v>74</v>
      </c>
      <c r="AY633" t="s">
        <v>74</v>
      </c>
      <c r="AZ633" t="s">
        <v>74</v>
      </c>
      <c r="BA633" t="s">
        <v>74</v>
      </c>
      <c r="BB633">
        <v>1453</v>
      </c>
      <c r="BC633">
        <v>1465</v>
      </c>
      <c r="BD633" t="s">
        <v>74</v>
      </c>
      <c r="BE633" t="s">
        <v>9272</v>
      </c>
      <c r="BF633" t="str">
        <f>HYPERLINK("http://dx.doi.org/10.1093/petrology/egh025","http://dx.doi.org/10.1093/petrology/egh025")</f>
        <v>http://dx.doi.org/10.1093/petrology/egh025</v>
      </c>
      <c r="BG633" t="s">
        <v>74</v>
      </c>
      <c r="BH633" t="s">
        <v>74</v>
      </c>
      <c r="BI633">
        <v>13</v>
      </c>
      <c r="BJ633" t="s">
        <v>271</v>
      </c>
      <c r="BK633" t="s">
        <v>139</v>
      </c>
      <c r="BL633" t="s">
        <v>271</v>
      </c>
      <c r="BM633" t="s">
        <v>9273</v>
      </c>
      <c r="BN633" t="s">
        <v>74</v>
      </c>
      <c r="BO633" t="s">
        <v>273</v>
      </c>
      <c r="BP633" t="s">
        <v>74</v>
      </c>
      <c r="BQ633" t="s">
        <v>74</v>
      </c>
      <c r="BR633" t="s">
        <v>98</v>
      </c>
      <c r="BS633" t="s">
        <v>9274</v>
      </c>
      <c r="BT633" t="str">
        <f>HYPERLINK("https%3A%2F%2Fwww.webofscience.com%2Fwos%2Fwoscc%2Ffull-record%2FWOS:000222271100008","View Full Record in Web of Science")</f>
        <v>View Full Record in Web of Science</v>
      </c>
    </row>
    <row r="634" spans="1:72" x14ac:dyDescent="0.15">
      <c r="A634" t="s">
        <v>122</v>
      </c>
      <c r="B634" t="s">
        <v>9275</v>
      </c>
      <c r="C634" t="s">
        <v>74</v>
      </c>
      <c r="D634" t="s">
        <v>74</v>
      </c>
      <c r="E634" t="s">
        <v>74</v>
      </c>
      <c r="F634" t="s">
        <v>9275</v>
      </c>
      <c r="G634" t="s">
        <v>74</v>
      </c>
      <c r="H634" t="s">
        <v>74</v>
      </c>
      <c r="I634" t="s">
        <v>9276</v>
      </c>
      <c r="J634" t="s">
        <v>1677</v>
      </c>
      <c r="K634" t="s">
        <v>74</v>
      </c>
      <c r="L634" t="s">
        <v>74</v>
      </c>
      <c r="M634" t="s">
        <v>79</v>
      </c>
      <c r="N634" t="s">
        <v>126</v>
      </c>
      <c r="O634" t="s">
        <v>74</v>
      </c>
      <c r="P634" t="s">
        <v>74</v>
      </c>
      <c r="Q634" t="s">
        <v>74</v>
      </c>
      <c r="R634" t="s">
        <v>74</v>
      </c>
      <c r="S634" t="s">
        <v>74</v>
      </c>
      <c r="T634" t="s">
        <v>74</v>
      </c>
      <c r="U634" t="s">
        <v>9277</v>
      </c>
      <c r="V634" t="s">
        <v>9278</v>
      </c>
      <c r="W634" t="s">
        <v>9279</v>
      </c>
      <c r="X634" t="s">
        <v>9280</v>
      </c>
      <c r="Y634" t="s">
        <v>9281</v>
      </c>
      <c r="Z634" t="s">
        <v>9282</v>
      </c>
      <c r="AA634" t="s">
        <v>74</v>
      </c>
      <c r="AB634" t="s">
        <v>74</v>
      </c>
      <c r="AC634" t="s">
        <v>74</v>
      </c>
      <c r="AD634" t="s">
        <v>74</v>
      </c>
      <c r="AE634" t="s">
        <v>74</v>
      </c>
      <c r="AF634" t="s">
        <v>74</v>
      </c>
      <c r="AG634">
        <v>35</v>
      </c>
      <c r="AH634">
        <v>13</v>
      </c>
      <c r="AI634">
        <v>13</v>
      </c>
      <c r="AJ634">
        <v>1</v>
      </c>
      <c r="AK634">
        <v>5</v>
      </c>
      <c r="AL634" t="s">
        <v>1571</v>
      </c>
      <c r="AM634" t="s">
        <v>1572</v>
      </c>
      <c r="AN634" t="s">
        <v>1573</v>
      </c>
      <c r="AO634" t="s">
        <v>1686</v>
      </c>
      <c r="AP634" t="s">
        <v>1687</v>
      </c>
      <c r="AQ634" t="s">
        <v>74</v>
      </c>
      <c r="AR634" t="s">
        <v>1688</v>
      </c>
      <c r="AS634" t="s">
        <v>1689</v>
      </c>
      <c r="AT634" t="s">
        <v>8496</v>
      </c>
      <c r="AU634">
        <v>2004</v>
      </c>
      <c r="AV634">
        <v>34</v>
      </c>
      <c r="AW634">
        <v>7</v>
      </c>
      <c r="AX634" t="s">
        <v>74</v>
      </c>
      <c r="AY634" t="s">
        <v>74</v>
      </c>
      <c r="AZ634" t="s">
        <v>74</v>
      </c>
      <c r="BA634" t="s">
        <v>74</v>
      </c>
      <c r="BB634">
        <v>1571</v>
      </c>
      <c r="BC634">
        <v>1587</v>
      </c>
      <c r="BD634" t="s">
        <v>74</v>
      </c>
      <c r="BE634" t="s">
        <v>9283</v>
      </c>
      <c r="BF634" t="str">
        <f>HYPERLINK("http://dx.doi.org/10.1175/1520-0485(2004)034&lt;1571:TACCIE&gt;2.0.CO;2","http://dx.doi.org/10.1175/1520-0485(2004)034&lt;1571:TACCIE&gt;2.0.CO;2")</f>
        <v>http://dx.doi.org/10.1175/1520-0485(2004)034&lt;1571:TACCIE&gt;2.0.CO;2</v>
      </c>
      <c r="BG634" t="s">
        <v>74</v>
      </c>
      <c r="BH634" t="s">
        <v>74</v>
      </c>
      <c r="BI634">
        <v>17</v>
      </c>
      <c r="BJ634" t="s">
        <v>660</v>
      </c>
      <c r="BK634" t="s">
        <v>139</v>
      </c>
      <c r="BL634" t="s">
        <v>660</v>
      </c>
      <c r="BM634" t="s">
        <v>9284</v>
      </c>
      <c r="BN634" t="s">
        <v>74</v>
      </c>
      <c r="BO634" t="s">
        <v>2621</v>
      </c>
      <c r="BP634" t="s">
        <v>74</v>
      </c>
      <c r="BQ634" t="s">
        <v>74</v>
      </c>
      <c r="BR634" t="s">
        <v>98</v>
      </c>
      <c r="BS634" t="s">
        <v>9285</v>
      </c>
      <c r="BT634" t="str">
        <f>HYPERLINK("https%3A%2F%2Fwww.webofscience.com%2Fwos%2Fwoscc%2Ffull-record%2FWOS:000222790800007","View Full Record in Web of Science")</f>
        <v>View Full Record in Web of Science</v>
      </c>
    </row>
    <row r="635" spans="1:72" x14ac:dyDescent="0.15">
      <c r="A635" t="s">
        <v>122</v>
      </c>
      <c r="B635" t="s">
        <v>9286</v>
      </c>
      <c r="C635" t="s">
        <v>74</v>
      </c>
      <c r="D635" t="s">
        <v>74</v>
      </c>
      <c r="E635" t="s">
        <v>74</v>
      </c>
      <c r="F635" t="s">
        <v>9286</v>
      </c>
      <c r="G635" t="s">
        <v>74</v>
      </c>
      <c r="H635" t="s">
        <v>74</v>
      </c>
      <c r="I635" t="s">
        <v>9287</v>
      </c>
      <c r="J635" t="s">
        <v>1677</v>
      </c>
      <c r="K635" t="s">
        <v>74</v>
      </c>
      <c r="L635" t="s">
        <v>74</v>
      </c>
      <c r="M635" t="s">
        <v>79</v>
      </c>
      <c r="N635" t="s">
        <v>126</v>
      </c>
      <c r="O635" t="s">
        <v>74</v>
      </c>
      <c r="P635" t="s">
        <v>74</v>
      </c>
      <c r="Q635" t="s">
        <v>74</v>
      </c>
      <c r="R635" t="s">
        <v>74</v>
      </c>
      <c r="S635" t="s">
        <v>74</v>
      </c>
      <c r="T635" t="s">
        <v>74</v>
      </c>
      <c r="U635" t="s">
        <v>9288</v>
      </c>
      <c r="V635" t="s">
        <v>9289</v>
      </c>
      <c r="W635" t="s">
        <v>9290</v>
      </c>
      <c r="X635" t="s">
        <v>9291</v>
      </c>
      <c r="Y635" t="s">
        <v>9292</v>
      </c>
      <c r="Z635" t="s">
        <v>9293</v>
      </c>
      <c r="AA635" t="s">
        <v>9294</v>
      </c>
      <c r="AB635" t="s">
        <v>9295</v>
      </c>
      <c r="AC635" t="s">
        <v>74</v>
      </c>
      <c r="AD635" t="s">
        <v>74</v>
      </c>
      <c r="AE635" t="s">
        <v>74</v>
      </c>
      <c r="AF635" t="s">
        <v>74</v>
      </c>
      <c r="AG635">
        <v>54</v>
      </c>
      <c r="AH635">
        <v>16</v>
      </c>
      <c r="AI635">
        <v>17</v>
      </c>
      <c r="AJ635">
        <v>0</v>
      </c>
      <c r="AK635">
        <v>3</v>
      </c>
      <c r="AL635" t="s">
        <v>1571</v>
      </c>
      <c r="AM635" t="s">
        <v>1572</v>
      </c>
      <c r="AN635" t="s">
        <v>1573</v>
      </c>
      <c r="AO635" t="s">
        <v>1686</v>
      </c>
      <c r="AP635" t="s">
        <v>1687</v>
      </c>
      <c r="AQ635" t="s">
        <v>74</v>
      </c>
      <c r="AR635" t="s">
        <v>1688</v>
      </c>
      <c r="AS635" t="s">
        <v>1689</v>
      </c>
      <c r="AT635" t="s">
        <v>8496</v>
      </c>
      <c r="AU635">
        <v>2004</v>
      </c>
      <c r="AV635">
        <v>34</v>
      </c>
      <c r="AW635">
        <v>7</v>
      </c>
      <c r="AX635" t="s">
        <v>74</v>
      </c>
      <c r="AY635" t="s">
        <v>74</v>
      </c>
      <c r="AZ635" t="s">
        <v>74</v>
      </c>
      <c r="BA635" t="s">
        <v>74</v>
      </c>
      <c r="BB635">
        <v>1628</v>
      </c>
      <c r="BC635">
        <v>1647</v>
      </c>
      <c r="BD635" t="s">
        <v>74</v>
      </c>
      <c r="BE635" t="s">
        <v>9296</v>
      </c>
      <c r="BF635" t="str">
        <f>HYPERLINK("http://dx.doi.org/10.1175/1520-0485(2004)034&lt;1628:MCTSOT&gt;2.0.CO;2","http://dx.doi.org/10.1175/1520-0485(2004)034&lt;1628:MCTSOT&gt;2.0.CO;2")</f>
        <v>http://dx.doi.org/10.1175/1520-0485(2004)034&lt;1628:MCTSOT&gt;2.0.CO;2</v>
      </c>
      <c r="BG635" t="s">
        <v>74</v>
      </c>
      <c r="BH635" t="s">
        <v>74</v>
      </c>
      <c r="BI635">
        <v>20</v>
      </c>
      <c r="BJ635" t="s">
        <v>660</v>
      </c>
      <c r="BK635" t="s">
        <v>139</v>
      </c>
      <c r="BL635" t="s">
        <v>660</v>
      </c>
      <c r="BM635" t="s">
        <v>9284</v>
      </c>
      <c r="BN635" t="s">
        <v>74</v>
      </c>
      <c r="BO635" t="s">
        <v>2236</v>
      </c>
      <c r="BP635" t="s">
        <v>74</v>
      </c>
      <c r="BQ635" t="s">
        <v>74</v>
      </c>
      <c r="BR635" t="s">
        <v>98</v>
      </c>
      <c r="BS635" t="s">
        <v>9297</v>
      </c>
      <c r="BT635" t="str">
        <f>HYPERLINK("https%3A%2F%2Fwww.webofscience.com%2Fwos%2Fwoscc%2Ffull-record%2FWOS:000222790800010","View Full Record in Web of Science")</f>
        <v>View Full Record in Web of Science</v>
      </c>
    </row>
    <row r="636" spans="1:72" x14ac:dyDescent="0.15">
      <c r="A636" t="s">
        <v>122</v>
      </c>
      <c r="B636" t="s">
        <v>9298</v>
      </c>
      <c r="C636" t="s">
        <v>74</v>
      </c>
      <c r="D636" t="s">
        <v>74</v>
      </c>
      <c r="E636" t="s">
        <v>74</v>
      </c>
      <c r="F636" t="s">
        <v>9298</v>
      </c>
      <c r="G636" t="s">
        <v>74</v>
      </c>
      <c r="H636" t="s">
        <v>74</v>
      </c>
      <c r="I636" t="s">
        <v>9299</v>
      </c>
      <c r="J636" t="s">
        <v>1677</v>
      </c>
      <c r="K636" t="s">
        <v>74</v>
      </c>
      <c r="L636" t="s">
        <v>74</v>
      </c>
      <c r="M636" t="s">
        <v>79</v>
      </c>
      <c r="N636" t="s">
        <v>126</v>
      </c>
      <c r="O636" t="s">
        <v>74</v>
      </c>
      <c r="P636" t="s">
        <v>74</v>
      </c>
      <c r="Q636" t="s">
        <v>74</v>
      </c>
      <c r="R636" t="s">
        <v>74</v>
      </c>
      <c r="S636" t="s">
        <v>74</v>
      </c>
      <c r="T636" t="s">
        <v>74</v>
      </c>
      <c r="U636" t="s">
        <v>9300</v>
      </c>
      <c r="V636" t="s">
        <v>9301</v>
      </c>
      <c r="W636" t="s">
        <v>9302</v>
      </c>
      <c r="X636" t="s">
        <v>9303</v>
      </c>
      <c r="Y636" t="s">
        <v>9304</v>
      </c>
      <c r="Z636" t="s">
        <v>9305</v>
      </c>
      <c r="AA636" t="s">
        <v>9306</v>
      </c>
      <c r="AB636" t="s">
        <v>9307</v>
      </c>
      <c r="AC636" t="s">
        <v>74</v>
      </c>
      <c r="AD636" t="s">
        <v>74</v>
      </c>
      <c r="AE636" t="s">
        <v>74</v>
      </c>
      <c r="AF636" t="s">
        <v>74</v>
      </c>
      <c r="AG636">
        <v>10</v>
      </c>
      <c r="AH636">
        <v>30</v>
      </c>
      <c r="AI636">
        <v>37</v>
      </c>
      <c r="AJ636">
        <v>0</v>
      </c>
      <c r="AK636">
        <v>5</v>
      </c>
      <c r="AL636" t="s">
        <v>1571</v>
      </c>
      <c r="AM636" t="s">
        <v>1572</v>
      </c>
      <c r="AN636" t="s">
        <v>1573</v>
      </c>
      <c r="AO636" t="s">
        <v>1686</v>
      </c>
      <c r="AP636" t="s">
        <v>1687</v>
      </c>
      <c r="AQ636" t="s">
        <v>74</v>
      </c>
      <c r="AR636" t="s">
        <v>1688</v>
      </c>
      <c r="AS636" t="s">
        <v>1689</v>
      </c>
      <c r="AT636" t="s">
        <v>8496</v>
      </c>
      <c r="AU636">
        <v>2004</v>
      </c>
      <c r="AV636">
        <v>34</v>
      </c>
      <c r="AW636">
        <v>7</v>
      </c>
      <c r="AX636" t="s">
        <v>74</v>
      </c>
      <c r="AY636" t="s">
        <v>74</v>
      </c>
      <c r="AZ636" t="s">
        <v>74</v>
      </c>
      <c r="BA636" t="s">
        <v>74</v>
      </c>
      <c r="BB636">
        <v>1776</v>
      </c>
      <c r="BC636">
        <v>1780</v>
      </c>
      <c r="BD636" t="s">
        <v>74</v>
      </c>
      <c r="BE636" t="s">
        <v>9308</v>
      </c>
      <c r="BF636" t="str">
        <f>HYPERLINK("http://dx.doi.org/10.1175/1520-0485(2004)034&lt;1776:OTCSOT&gt;2.0.CO;2","http://dx.doi.org/10.1175/1520-0485(2004)034&lt;1776:OTCSOT&gt;2.0.CO;2")</f>
        <v>http://dx.doi.org/10.1175/1520-0485(2004)034&lt;1776:OTCSOT&gt;2.0.CO;2</v>
      </c>
      <c r="BG636" t="s">
        <v>74</v>
      </c>
      <c r="BH636" t="s">
        <v>74</v>
      </c>
      <c r="BI636">
        <v>5</v>
      </c>
      <c r="BJ636" t="s">
        <v>660</v>
      </c>
      <c r="BK636" t="s">
        <v>139</v>
      </c>
      <c r="BL636" t="s">
        <v>660</v>
      </c>
      <c r="BM636" t="s">
        <v>9284</v>
      </c>
      <c r="BN636" t="s">
        <v>74</v>
      </c>
      <c r="BO636" t="s">
        <v>2236</v>
      </c>
      <c r="BP636" t="s">
        <v>74</v>
      </c>
      <c r="BQ636" t="s">
        <v>74</v>
      </c>
      <c r="BR636" t="s">
        <v>98</v>
      </c>
      <c r="BS636" t="s">
        <v>9309</v>
      </c>
      <c r="BT636" t="str">
        <f>HYPERLINK("https%3A%2F%2Fwww.webofscience.com%2Fwos%2Fwoscc%2Ffull-record%2FWOS:000222790800019","View Full Record in Web of Science")</f>
        <v>View Full Record in Web of Science</v>
      </c>
    </row>
    <row r="637" spans="1:72" x14ac:dyDescent="0.15">
      <c r="A637" t="s">
        <v>122</v>
      </c>
      <c r="B637" t="s">
        <v>9310</v>
      </c>
      <c r="C637" t="s">
        <v>74</v>
      </c>
      <c r="D637" t="s">
        <v>74</v>
      </c>
      <c r="E637" t="s">
        <v>74</v>
      </c>
      <c r="F637" t="s">
        <v>9310</v>
      </c>
      <c r="G637" t="s">
        <v>74</v>
      </c>
      <c r="H637" t="s">
        <v>74</v>
      </c>
      <c r="I637" t="s">
        <v>9311</v>
      </c>
      <c r="J637" t="s">
        <v>9312</v>
      </c>
      <c r="K637" t="s">
        <v>74</v>
      </c>
      <c r="L637" t="s">
        <v>74</v>
      </c>
      <c r="M637" t="s">
        <v>79</v>
      </c>
      <c r="N637" t="s">
        <v>126</v>
      </c>
      <c r="O637" t="s">
        <v>74</v>
      </c>
      <c r="P637" t="s">
        <v>74</v>
      </c>
      <c r="Q637" t="s">
        <v>74</v>
      </c>
      <c r="R637" t="s">
        <v>74</v>
      </c>
      <c r="S637" t="s">
        <v>74</v>
      </c>
      <c r="T637" t="s">
        <v>74</v>
      </c>
      <c r="U637" t="s">
        <v>9313</v>
      </c>
      <c r="V637" t="s">
        <v>9314</v>
      </c>
      <c r="W637" t="s">
        <v>9315</v>
      </c>
      <c r="X637" t="s">
        <v>4970</v>
      </c>
      <c r="Y637" t="s">
        <v>9316</v>
      </c>
      <c r="Z637" t="s">
        <v>9317</v>
      </c>
      <c r="AA637" t="s">
        <v>74</v>
      </c>
      <c r="AB637" t="s">
        <v>74</v>
      </c>
      <c r="AC637" t="s">
        <v>74</v>
      </c>
      <c r="AD637" t="s">
        <v>74</v>
      </c>
      <c r="AE637" t="s">
        <v>74</v>
      </c>
      <c r="AF637" t="s">
        <v>74</v>
      </c>
      <c r="AG637">
        <v>26</v>
      </c>
      <c r="AH637">
        <v>4</v>
      </c>
      <c r="AI637">
        <v>4</v>
      </c>
      <c r="AJ637">
        <v>0</v>
      </c>
      <c r="AK637">
        <v>9</v>
      </c>
      <c r="AL637" t="s">
        <v>9318</v>
      </c>
      <c r="AM637" t="s">
        <v>9319</v>
      </c>
      <c r="AN637" t="s">
        <v>9320</v>
      </c>
      <c r="AO637" t="s">
        <v>9321</v>
      </c>
      <c r="AP637" t="s">
        <v>9322</v>
      </c>
      <c r="AQ637" t="s">
        <v>74</v>
      </c>
      <c r="AR637" t="s">
        <v>9323</v>
      </c>
      <c r="AS637" t="s">
        <v>9324</v>
      </c>
      <c r="AT637" t="s">
        <v>8496</v>
      </c>
      <c r="AU637">
        <v>2004</v>
      </c>
      <c r="AV637">
        <v>116</v>
      </c>
      <c r="AW637">
        <v>1</v>
      </c>
      <c r="AX637" t="s">
        <v>74</v>
      </c>
      <c r="AY637" t="s">
        <v>74</v>
      </c>
      <c r="AZ637" t="s">
        <v>74</v>
      </c>
      <c r="BA637" t="s">
        <v>74</v>
      </c>
      <c r="BB637">
        <v>254</v>
      </c>
      <c r="BC637">
        <v>261</v>
      </c>
      <c r="BD637" t="s">
        <v>74</v>
      </c>
      <c r="BE637" t="s">
        <v>9325</v>
      </c>
      <c r="BF637" t="str">
        <f>HYPERLINK("http://dx.doi.org/10.1121/1.1756894","http://dx.doi.org/10.1121/1.1756894")</f>
        <v>http://dx.doi.org/10.1121/1.1756894</v>
      </c>
      <c r="BG637" t="s">
        <v>74</v>
      </c>
      <c r="BH637" t="s">
        <v>74</v>
      </c>
      <c r="BI637">
        <v>8</v>
      </c>
      <c r="BJ637" t="s">
        <v>9326</v>
      </c>
      <c r="BK637" t="s">
        <v>139</v>
      </c>
      <c r="BL637" t="s">
        <v>9326</v>
      </c>
      <c r="BM637" t="s">
        <v>9327</v>
      </c>
      <c r="BN637">
        <v>15295985</v>
      </c>
      <c r="BO637" t="s">
        <v>74</v>
      </c>
      <c r="BP637" t="s">
        <v>74</v>
      </c>
      <c r="BQ637" t="s">
        <v>74</v>
      </c>
      <c r="BR637" t="s">
        <v>98</v>
      </c>
      <c r="BS637" t="s">
        <v>9328</v>
      </c>
      <c r="BT637" t="str">
        <f>HYPERLINK("https%3A%2F%2Fwww.webofscience.com%2Fwos%2Fwoscc%2Ffull-record%2FWOS:000222674800025","View Full Record in Web of Science")</f>
        <v>View Full Record in Web of Science</v>
      </c>
    </row>
    <row r="638" spans="1:72" x14ac:dyDescent="0.15">
      <c r="A638" t="s">
        <v>122</v>
      </c>
      <c r="B638" t="s">
        <v>9329</v>
      </c>
      <c r="C638" t="s">
        <v>74</v>
      </c>
      <c r="D638" t="s">
        <v>74</v>
      </c>
      <c r="E638" t="s">
        <v>74</v>
      </c>
      <c r="F638" t="s">
        <v>9329</v>
      </c>
      <c r="G638" t="s">
        <v>74</v>
      </c>
      <c r="H638" t="s">
        <v>74</v>
      </c>
      <c r="I638" t="s">
        <v>9330</v>
      </c>
      <c r="J638" t="s">
        <v>9331</v>
      </c>
      <c r="K638" t="s">
        <v>74</v>
      </c>
      <c r="L638" t="s">
        <v>74</v>
      </c>
      <c r="M638" t="s">
        <v>79</v>
      </c>
      <c r="N638" t="s">
        <v>126</v>
      </c>
      <c r="O638" t="s">
        <v>74</v>
      </c>
      <c r="P638" t="s">
        <v>74</v>
      </c>
      <c r="Q638" t="s">
        <v>74</v>
      </c>
      <c r="R638" t="s">
        <v>74</v>
      </c>
      <c r="S638" t="s">
        <v>74</v>
      </c>
      <c r="T638" t="s">
        <v>9332</v>
      </c>
      <c r="U638" t="s">
        <v>9333</v>
      </c>
      <c r="V638" t="s">
        <v>9334</v>
      </c>
      <c r="W638" t="s">
        <v>9335</v>
      </c>
      <c r="X638" t="s">
        <v>9336</v>
      </c>
      <c r="Y638" t="s">
        <v>2548</v>
      </c>
      <c r="Z638" t="s">
        <v>9337</v>
      </c>
      <c r="AA638" t="s">
        <v>9338</v>
      </c>
      <c r="AB638" t="s">
        <v>9339</v>
      </c>
      <c r="AC638" t="s">
        <v>74</v>
      </c>
      <c r="AD638" t="s">
        <v>74</v>
      </c>
      <c r="AE638" t="s">
        <v>74</v>
      </c>
      <c r="AF638" t="s">
        <v>74</v>
      </c>
      <c r="AG638">
        <v>18</v>
      </c>
      <c r="AH638">
        <v>76</v>
      </c>
      <c r="AI638">
        <v>79</v>
      </c>
      <c r="AJ638">
        <v>0</v>
      </c>
      <c r="AK638">
        <v>5</v>
      </c>
      <c r="AL638" t="s">
        <v>3732</v>
      </c>
      <c r="AM638" t="s">
        <v>3733</v>
      </c>
      <c r="AN638" t="s">
        <v>3734</v>
      </c>
      <c r="AO638" t="s">
        <v>9340</v>
      </c>
      <c r="AP638" t="s">
        <v>9341</v>
      </c>
      <c r="AQ638" t="s">
        <v>74</v>
      </c>
      <c r="AR638" t="s">
        <v>9342</v>
      </c>
      <c r="AS638" t="s">
        <v>9343</v>
      </c>
      <c r="AT638" t="s">
        <v>8496</v>
      </c>
      <c r="AU638">
        <v>2004</v>
      </c>
      <c r="AV638">
        <v>161</v>
      </c>
      <c r="AW638" t="s">
        <v>74</v>
      </c>
      <c r="AX638">
        <v>4</v>
      </c>
      <c r="AY638" t="s">
        <v>74</v>
      </c>
      <c r="AZ638" t="s">
        <v>74</v>
      </c>
      <c r="BA638" t="s">
        <v>74</v>
      </c>
      <c r="BB638">
        <v>547</v>
      </c>
      <c r="BC638">
        <v>550</v>
      </c>
      <c r="BD638" t="s">
        <v>74</v>
      </c>
      <c r="BE638" t="s">
        <v>9344</v>
      </c>
      <c r="BF638" t="str">
        <f>HYPERLINK("http://dx.doi.org/10.1144/0016-764903-181","http://dx.doi.org/10.1144/0016-764903-181")</f>
        <v>http://dx.doi.org/10.1144/0016-764903-181</v>
      </c>
      <c r="BG638" t="s">
        <v>74</v>
      </c>
      <c r="BH638" t="s">
        <v>74</v>
      </c>
      <c r="BI638">
        <v>4</v>
      </c>
      <c r="BJ638" t="s">
        <v>248</v>
      </c>
      <c r="BK638" t="s">
        <v>139</v>
      </c>
      <c r="BL638" t="s">
        <v>249</v>
      </c>
      <c r="BM638" t="s">
        <v>9345</v>
      </c>
      <c r="BN638" t="s">
        <v>74</v>
      </c>
      <c r="BO638" t="s">
        <v>74</v>
      </c>
      <c r="BP638" t="s">
        <v>74</v>
      </c>
      <c r="BQ638" t="s">
        <v>74</v>
      </c>
      <c r="BR638" t="s">
        <v>98</v>
      </c>
      <c r="BS638" t="s">
        <v>9346</v>
      </c>
      <c r="BT638" t="str">
        <f>HYPERLINK("https%3A%2F%2Fwww.webofscience.com%2Fwos%2Fwoscc%2Ffull-record%2FWOS:000222554900001","View Full Record in Web of Science")</f>
        <v>View Full Record in Web of Science</v>
      </c>
    </row>
    <row r="639" spans="1:72" x14ac:dyDescent="0.15">
      <c r="A639" t="s">
        <v>122</v>
      </c>
      <c r="B639" t="s">
        <v>9347</v>
      </c>
      <c r="C639" t="s">
        <v>74</v>
      </c>
      <c r="D639" t="s">
        <v>74</v>
      </c>
      <c r="E639" t="s">
        <v>74</v>
      </c>
      <c r="F639" t="s">
        <v>9347</v>
      </c>
      <c r="G639" t="s">
        <v>74</v>
      </c>
      <c r="H639" t="s">
        <v>74</v>
      </c>
      <c r="I639" t="s">
        <v>9348</v>
      </c>
      <c r="J639" t="s">
        <v>1724</v>
      </c>
      <c r="K639" t="s">
        <v>74</v>
      </c>
      <c r="L639" t="s">
        <v>74</v>
      </c>
      <c r="M639" t="s">
        <v>79</v>
      </c>
      <c r="N639" t="s">
        <v>126</v>
      </c>
      <c r="O639" t="s">
        <v>74</v>
      </c>
      <c r="P639" t="s">
        <v>74</v>
      </c>
      <c r="Q639" t="s">
        <v>74</v>
      </c>
      <c r="R639" t="s">
        <v>74</v>
      </c>
      <c r="S639" t="s">
        <v>74</v>
      </c>
      <c r="T639" t="s">
        <v>9349</v>
      </c>
      <c r="U639" t="s">
        <v>9350</v>
      </c>
      <c r="V639" t="s">
        <v>9351</v>
      </c>
      <c r="W639" t="s">
        <v>9352</v>
      </c>
      <c r="X639" t="s">
        <v>7678</v>
      </c>
      <c r="Y639" t="s">
        <v>9353</v>
      </c>
      <c r="Z639" t="s">
        <v>9354</v>
      </c>
      <c r="AA639" t="s">
        <v>9355</v>
      </c>
      <c r="AB639" t="s">
        <v>9356</v>
      </c>
      <c r="AC639" t="s">
        <v>74</v>
      </c>
      <c r="AD639" t="s">
        <v>74</v>
      </c>
      <c r="AE639" t="s">
        <v>74</v>
      </c>
      <c r="AF639" t="s">
        <v>74</v>
      </c>
      <c r="AG639">
        <v>69</v>
      </c>
      <c r="AH639">
        <v>26</v>
      </c>
      <c r="AI639">
        <v>29</v>
      </c>
      <c r="AJ639">
        <v>0</v>
      </c>
      <c r="AK639">
        <v>54</v>
      </c>
      <c r="AL639" t="s">
        <v>919</v>
      </c>
      <c r="AM639" t="s">
        <v>613</v>
      </c>
      <c r="AN639" t="s">
        <v>920</v>
      </c>
      <c r="AO639" t="s">
        <v>1728</v>
      </c>
      <c r="AP639" t="s">
        <v>74</v>
      </c>
      <c r="AQ639" t="s">
        <v>74</v>
      </c>
      <c r="AR639" t="s">
        <v>1729</v>
      </c>
      <c r="AS639" t="s">
        <v>1730</v>
      </c>
      <c r="AT639" t="s">
        <v>8496</v>
      </c>
      <c r="AU639">
        <v>2004</v>
      </c>
      <c r="AV639">
        <v>263</v>
      </c>
      <c r="AW639" t="s">
        <v>74</v>
      </c>
      <c r="AX639">
        <v>3</v>
      </c>
      <c r="AY639" t="s">
        <v>74</v>
      </c>
      <c r="AZ639" t="s">
        <v>74</v>
      </c>
      <c r="BA639" t="s">
        <v>74</v>
      </c>
      <c r="BB639">
        <v>237</v>
      </c>
      <c r="BC639">
        <v>250</v>
      </c>
      <c r="BD639" t="s">
        <v>74</v>
      </c>
      <c r="BE639" t="s">
        <v>9357</v>
      </c>
      <c r="BF639" t="str">
        <f>HYPERLINK("http://dx.doi.org/10.1017/S0952836904005096","http://dx.doi.org/10.1017/S0952836904005096")</f>
        <v>http://dx.doi.org/10.1017/S0952836904005096</v>
      </c>
      <c r="BG639" t="s">
        <v>74</v>
      </c>
      <c r="BH639" t="s">
        <v>74</v>
      </c>
      <c r="BI639">
        <v>14</v>
      </c>
      <c r="BJ639" t="s">
        <v>205</v>
      </c>
      <c r="BK639" t="s">
        <v>139</v>
      </c>
      <c r="BL639" t="s">
        <v>205</v>
      </c>
      <c r="BM639" t="s">
        <v>9358</v>
      </c>
      <c r="BN639" t="s">
        <v>74</v>
      </c>
      <c r="BO639" t="s">
        <v>74</v>
      </c>
      <c r="BP639" t="s">
        <v>74</v>
      </c>
      <c r="BQ639" t="s">
        <v>74</v>
      </c>
      <c r="BR639" t="s">
        <v>98</v>
      </c>
      <c r="BS639" t="s">
        <v>9359</v>
      </c>
      <c r="BT639" t="str">
        <f>HYPERLINK("https%3A%2F%2Fwww.webofscience.com%2Fwos%2Fwoscc%2Ffull-record%2FWOS:000222908100003","View Full Record in Web of Science")</f>
        <v>View Full Record in Web of Science</v>
      </c>
    </row>
    <row r="640" spans="1:72" x14ac:dyDescent="0.15">
      <c r="A640" t="s">
        <v>122</v>
      </c>
      <c r="B640" t="s">
        <v>9360</v>
      </c>
      <c r="C640" t="s">
        <v>74</v>
      </c>
      <c r="D640" t="s">
        <v>74</v>
      </c>
      <c r="E640" t="s">
        <v>74</v>
      </c>
      <c r="F640" t="s">
        <v>9360</v>
      </c>
      <c r="G640" t="s">
        <v>74</v>
      </c>
      <c r="H640" t="s">
        <v>74</v>
      </c>
      <c r="I640" t="s">
        <v>9361</v>
      </c>
      <c r="J640" t="s">
        <v>1724</v>
      </c>
      <c r="K640" t="s">
        <v>74</v>
      </c>
      <c r="L640" t="s">
        <v>74</v>
      </c>
      <c r="M640" t="s">
        <v>79</v>
      </c>
      <c r="N640" t="s">
        <v>126</v>
      </c>
      <c r="O640" t="s">
        <v>74</v>
      </c>
      <c r="P640" t="s">
        <v>74</v>
      </c>
      <c r="Q640" t="s">
        <v>74</v>
      </c>
      <c r="R640" t="s">
        <v>74</v>
      </c>
      <c r="S640" t="s">
        <v>74</v>
      </c>
      <c r="T640" t="s">
        <v>9362</v>
      </c>
      <c r="U640" t="s">
        <v>9363</v>
      </c>
      <c r="V640" t="s">
        <v>9364</v>
      </c>
      <c r="W640" t="s">
        <v>3499</v>
      </c>
      <c r="X640" t="s">
        <v>748</v>
      </c>
      <c r="Y640" t="s">
        <v>9365</v>
      </c>
      <c r="Z640" t="s">
        <v>8141</v>
      </c>
      <c r="AA640" t="s">
        <v>9366</v>
      </c>
      <c r="AB640" t="s">
        <v>9367</v>
      </c>
      <c r="AC640" t="s">
        <v>74</v>
      </c>
      <c r="AD640" t="s">
        <v>74</v>
      </c>
      <c r="AE640" t="s">
        <v>74</v>
      </c>
      <c r="AF640" t="s">
        <v>74</v>
      </c>
      <c r="AG640">
        <v>32</v>
      </c>
      <c r="AH640">
        <v>30</v>
      </c>
      <c r="AI640">
        <v>34</v>
      </c>
      <c r="AJ640">
        <v>1</v>
      </c>
      <c r="AK640">
        <v>176</v>
      </c>
      <c r="AL640" t="s">
        <v>1418</v>
      </c>
      <c r="AM640" t="s">
        <v>1419</v>
      </c>
      <c r="AN640" t="s">
        <v>1420</v>
      </c>
      <c r="AO640" t="s">
        <v>1728</v>
      </c>
      <c r="AP640" t="s">
        <v>1746</v>
      </c>
      <c r="AQ640" t="s">
        <v>74</v>
      </c>
      <c r="AR640" t="s">
        <v>1729</v>
      </c>
      <c r="AS640" t="s">
        <v>1730</v>
      </c>
      <c r="AT640" t="s">
        <v>8496</v>
      </c>
      <c r="AU640">
        <v>2004</v>
      </c>
      <c r="AV640">
        <v>263</v>
      </c>
      <c r="AW640" t="s">
        <v>74</v>
      </c>
      <c r="AX640">
        <v>3</v>
      </c>
      <c r="AY640" t="s">
        <v>74</v>
      </c>
      <c r="AZ640" t="s">
        <v>74</v>
      </c>
      <c r="BA640" t="s">
        <v>74</v>
      </c>
      <c r="BB640">
        <v>251</v>
      </c>
      <c r="BC640">
        <v>258</v>
      </c>
      <c r="BD640" t="s">
        <v>74</v>
      </c>
      <c r="BE640" t="s">
        <v>9368</v>
      </c>
      <c r="BF640" t="str">
        <f>HYPERLINK("http://dx.doi.org/10.1017/S0952836904005102","http://dx.doi.org/10.1017/S0952836904005102")</f>
        <v>http://dx.doi.org/10.1017/S0952836904005102</v>
      </c>
      <c r="BG640" t="s">
        <v>74</v>
      </c>
      <c r="BH640" t="s">
        <v>74</v>
      </c>
      <c r="BI640">
        <v>8</v>
      </c>
      <c r="BJ640" t="s">
        <v>205</v>
      </c>
      <c r="BK640" t="s">
        <v>139</v>
      </c>
      <c r="BL640" t="s">
        <v>205</v>
      </c>
      <c r="BM640" t="s">
        <v>9358</v>
      </c>
      <c r="BN640" t="s">
        <v>74</v>
      </c>
      <c r="BO640" t="s">
        <v>74</v>
      </c>
      <c r="BP640" t="s">
        <v>74</v>
      </c>
      <c r="BQ640" t="s">
        <v>74</v>
      </c>
      <c r="BR640" t="s">
        <v>98</v>
      </c>
      <c r="BS640" t="s">
        <v>9369</v>
      </c>
      <c r="BT640" t="str">
        <f>HYPERLINK("https%3A%2F%2Fwww.webofscience.com%2Fwos%2Fwoscc%2Ffull-record%2FWOS:000222908100004","View Full Record in Web of Science")</f>
        <v>View Full Record in Web of Science</v>
      </c>
    </row>
    <row r="641" spans="1:72" x14ac:dyDescent="0.15">
      <c r="A641" t="s">
        <v>122</v>
      </c>
      <c r="B641" t="s">
        <v>9370</v>
      </c>
      <c r="C641" t="s">
        <v>74</v>
      </c>
      <c r="D641" t="s">
        <v>74</v>
      </c>
      <c r="E641" t="s">
        <v>74</v>
      </c>
      <c r="F641" t="s">
        <v>9370</v>
      </c>
      <c r="G641" t="s">
        <v>74</v>
      </c>
      <c r="H641" t="s">
        <v>74</v>
      </c>
      <c r="I641" t="s">
        <v>9371</v>
      </c>
      <c r="J641" t="s">
        <v>1724</v>
      </c>
      <c r="K641" t="s">
        <v>74</v>
      </c>
      <c r="L641" t="s">
        <v>74</v>
      </c>
      <c r="M641" t="s">
        <v>79</v>
      </c>
      <c r="N641" t="s">
        <v>126</v>
      </c>
      <c r="O641" t="s">
        <v>74</v>
      </c>
      <c r="P641" t="s">
        <v>74</v>
      </c>
      <c r="Q641" t="s">
        <v>74</v>
      </c>
      <c r="R641" t="s">
        <v>74</v>
      </c>
      <c r="S641" t="s">
        <v>74</v>
      </c>
      <c r="T641" t="s">
        <v>9372</v>
      </c>
      <c r="U641" t="s">
        <v>9373</v>
      </c>
      <c r="V641" t="s">
        <v>9374</v>
      </c>
      <c r="W641" t="s">
        <v>9375</v>
      </c>
      <c r="X641" t="s">
        <v>9376</v>
      </c>
      <c r="Y641" t="s">
        <v>3864</v>
      </c>
      <c r="Z641" t="s">
        <v>7552</v>
      </c>
      <c r="AA641" t="s">
        <v>9377</v>
      </c>
      <c r="AB641" t="s">
        <v>9378</v>
      </c>
      <c r="AC641" t="s">
        <v>74</v>
      </c>
      <c r="AD641" t="s">
        <v>74</v>
      </c>
      <c r="AE641" t="s">
        <v>74</v>
      </c>
      <c r="AF641" t="s">
        <v>74</v>
      </c>
      <c r="AG641">
        <v>40</v>
      </c>
      <c r="AH641">
        <v>90</v>
      </c>
      <c r="AI641">
        <v>109</v>
      </c>
      <c r="AJ641">
        <v>1</v>
      </c>
      <c r="AK641">
        <v>64</v>
      </c>
      <c r="AL641" t="s">
        <v>1418</v>
      </c>
      <c r="AM641" t="s">
        <v>1419</v>
      </c>
      <c r="AN641" t="s">
        <v>1420</v>
      </c>
      <c r="AO641" t="s">
        <v>1728</v>
      </c>
      <c r="AP641" t="s">
        <v>1746</v>
      </c>
      <c r="AQ641" t="s">
        <v>74</v>
      </c>
      <c r="AR641" t="s">
        <v>1729</v>
      </c>
      <c r="AS641" t="s">
        <v>1730</v>
      </c>
      <c r="AT641" t="s">
        <v>8496</v>
      </c>
      <c r="AU641">
        <v>2004</v>
      </c>
      <c r="AV641">
        <v>263</v>
      </c>
      <c r="AW641" t="s">
        <v>74</v>
      </c>
      <c r="AX641">
        <v>3</v>
      </c>
      <c r="AY641" t="s">
        <v>74</v>
      </c>
      <c r="AZ641" t="s">
        <v>74</v>
      </c>
      <c r="BA641" t="s">
        <v>74</v>
      </c>
      <c r="BB641">
        <v>295</v>
      </c>
      <c r="BC641">
        <v>305</v>
      </c>
      <c r="BD641" t="s">
        <v>74</v>
      </c>
      <c r="BE641" t="s">
        <v>9379</v>
      </c>
      <c r="BF641" t="str">
        <f>HYPERLINK("http://dx.doi.org/10.1017/S095283690400528X","http://dx.doi.org/10.1017/S095283690400528X")</f>
        <v>http://dx.doi.org/10.1017/S095283690400528X</v>
      </c>
      <c r="BG641" t="s">
        <v>74</v>
      </c>
      <c r="BH641" t="s">
        <v>74</v>
      </c>
      <c r="BI641">
        <v>11</v>
      </c>
      <c r="BJ641" t="s">
        <v>205</v>
      </c>
      <c r="BK641" t="s">
        <v>139</v>
      </c>
      <c r="BL641" t="s">
        <v>205</v>
      </c>
      <c r="BM641" t="s">
        <v>9358</v>
      </c>
      <c r="BN641" t="s">
        <v>74</v>
      </c>
      <c r="BO641" t="s">
        <v>74</v>
      </c>
      <c r="BP641" t="s">
        <v>74</v>
      </c>
      <c r="BQ641" t="s">
        <v>74</v>
      </c>
      <c r="BR641" t="s">
        <v>98</v>
      </c>
      <c r="BS641" t="s">
        <v>9380</v>
      </c>
      <c r="BT641" t="str">
        <f>HYPERLINK("https%3A%2F%2Fwww.webofscience.com%2Fwos%2Fwoscc%2Ffull-record%2FWOS:000222908100009","View Full Record in Web of Science")</f>
        <v>View Full Record in Web of Science</v>
      </c>
    </row>
    <row r="642" spans="1:72" x14ac:dyDescent="0.15">
      <c r="A642" t="s">
        <v>122</v>
      </c>
      <c r="B642" t="s">
        <v>9381</v>
      </c>
      <c r="C642" t="s">
        <v>74</v>
      </c>
      <c r="D642" t="s">
        <v>74</v>
      </c>
      <c r="E642" t="s">
        <v>74</v>
      </c>
      <c r="F642" t="s">
        <v>9381</v>
      </c>
      <c r="G642" t="s">
        <v>74</v>
      </c>
      <c r="H642" t="s">
        <v>74</v>
      </c>
      <c r="I642" t="s">
        <v>9382</v>
      </c>
      <c r="J642" t="s">
        <v>3454</v>
      </c>
      <c r="K642" t="s">
        <v>74</v>
      </c>
      <c r="L642" t="s">
        <v>74</v>
      </c>
      <c r="M642" t="s">
        <v>79</v>
      </c>
      <c r="N642" t="s">
        <v>126</v>
      </c>
      <c r="O642" t="s">
        <v>74</v>
      </c>
      <c r="P642" t="s">
        <v>74</v>
      </c>
      <c r="Q642" t="s">
        <v>74</v>
      </c>
      <c r="R642" t="s">
        <v>74</v>
      </c>
      <c r="S642" t="s">
        <v>74</v>
      </c>
      <c r="T642" t="s">
        <v>74</v>
      </c>
      <c r="U642" t="s">
        <v>9383</v>
      </c>
      <c r="V642" t="s">
        <v>9384</v>
      </c>
      <c r="W642" t="s">
        <v>9385</v>
      </c>
      <c r="X642" t="s">
        <v>4793</v>
      </c>
      <c r="Y642" t="s">
        <v>9386</v>
      </c>
      <c r="Z642" t="s">
        <v>74</v>
      </c>
      <c r="AA642" t="s">
        <v>9387</v>
      </c>
      <c r="AB642" t="s">
        <v>9388</v>
      </c>
      <c r="AC642" t="s">
        <v>74</v>
      </c>
      <c r="AD642" t="s">
        <v>74</v>
      </c>
      <c r="AE642" t="s">
        <v>74</v>
      </c>
      <c r="AF642" t="s">
        <v>74</v>
      </c>
      <c r="AG642">
        <v>27</v>
      </c>
      <c r="AH642">
        <v>7</v>
      </c>
      <c r="AI642">
        <v>8</v>
      </c>
      <c r="AJ642">
        <v>0</v>
      </c>
      <c r="AK642">
        <v>3</v>
      </c>
      <c r="AL642" t="s">
        <v>3463</v>
      </c>
      <c r="AM642" t="s">
        <v>3464</v>
      </c>
      <c r="AN642" t="s">
        <v>3465</v>
      </c>
      <c r="AO642" t="s">
        <v>3466</v>
      </c>
      <c r="AP642" t="s">
        <v>74</v>
      </c>
      <c r="AQ642" t="s">
        <v>74</v>
      </c>
      <c r="AR642" t="s">
        <v>3467</v>
      </c>
      <c r="AS642" t="s">
        <v>3468</v>
      </c>
      <c r="AT642" t="s">
        <v>8496</v>
      </c>
      <c r="AU642">
        <v>2004</v>
      </c>
      <c r="AV642">
        <v>49</v>
      </c>
      <c r="AW642">
        <v>4</v>
      </c>
      <c r="AX642" t="s">
        <v>74</v>
      </c>
      <c r="AY642" t="s">
        <v>74</v>
      </c>
      <c r="AZ642" t="s">
        <v>74</v>
      </c>
      <c r="BA642" t="s">
        <v>74</v>
      </c>
      <c r="BB642">
        <v>934</v>
      </c>
      <c r="BC642">
        <v>939</v>
      </c>
      <c r="BD642" t="s">
        <v>74</v>
      </c>
      <c r="BE642" t="s">
        <v>9389</v>
      </c>
      <c r="BF642" t="str">
        <f>HYPERLINK("http://dx.doi.org/10.4319/lo.2004.49.4.0934","http://dx.doi.org/10.4319/lo.2004.49.4.0934")</f>
        <v>http://dx.doi.org/10.4319/lo.2004.49.4.0934</v>
      </c>
      <c r="BG642" t="s">
        <v>74</v>
      </c>
      <c r="BH642" t="s">
        <v>74</v>
      </c>
      <c r="BI642">
        <v>6</v>
      </c>
      <c r="BJ642" t="s">
        <v>3470</v>
      </c>
      <c r="BK642" t="s">
        <v>139</v>
      </c>
      <c r="BL642" t="s">
        <v>1709</v>
      </c>
      <c r="BM642" t="s">
        <v>9390</v>
      </c>
      <c r="BN642" t="s">
        <v>74</v>
      </c>
      <c r="BO642" t="s">
        <v>74</v>
      </c>
      <c r="BP642" t="s">
        <v>74</v>
      </c>
      <c r="BQ642" t="s">
        <v>74</v>
      </c>
      <c r="BR642" t="s">
        <v>98</v>
      </c>
      <c r="BS642" t="s">
        <v>9391</v>
      </c>
      <c r="BT642" t="str">
        <f>HYPERLINK("https%3A%2F%2Fwww.webofscience.com%2Fwos%2Fwoscc%2Ffull-record%2FWOS:000224979700005","View Full Record in Web of Science")</f>
        <v>View Full Record in Web of Science</v>
      </c>
    </row>
    <row r="643" spans="1:72" x14ac:dyDescent="0.15">
      <c r="A643" t="s">
        <v>122</v>
      </c>
      <c r="B643" t="s">
        <v>9392</v>
      </c>
      <c r="C643" t="s">
        <v>74</v>
      </c>
      <c r="D643" t="s">
        <v>74</v>
      </c>
      <c r="E643" t="s">
        <v>74</v>
      </c>
      <c r="F643" t="s">
        <v>9392</v>
      </c>
      <c r="G643" t="s">
        <v>74</v>
      </c>
      <c r="H643" t="s">
        <v>74</v>
      </c>
      <c r="I643" t="s">
        <v>9393</v>
      </c>
      <c r="J643" t="s">
        <v>3454</v>
      </c>
      <c r="K643" t="s">
        <v>74</v>
      </c>
      <c r="L643" t="s">
        <v>74</v>
      </c>
      <c r="M643" t="s">
        <v>79</v>
      </c>
      <c r="N643" t="s">
        <v>126</v>
      </c>
      <c r="O643" t="s">
        <v>74</v>
      </c>
      <c r="P643" t="s">
        <v>74</v>
      </c>
      <c r="Q643" t="s">
        <v>74</v>
      </c>
      <c r="R643" t="s">
        <v>74</v>
      </c>
      <c r="S643" t="s">
        <v>74</v>
      </c>
      <c r="T643" t="s">
        <v>74</v>
      </c>
      <c r="U643" t="s">
        <v>9394</v>
      </c>
      <c r="V643" t="s">
        <v>9395</v>
      </c>
      <c r="W643" t="s">
        <v>9396</v>
      </c>
      <c r="X643" t="s">
        <v>9397</v>
      </c>
      <c r="Y643" t="s">
        <v>4592</v>
      </c>
      <c r="Z643" t="s">
        <v>74</v>
      </c>
      <c r="AA643" t="s">
        <v>74</v>
      </c>
      <c r="AB643" t="s">
        <v>9398</v>
      </c>
      <c r="AC643" t="s">
        <v>74</v>
      </c>
      <c r="AD643" t="s">
        <v>74</v>
      </c>
      <c r="AE643" t="s">
        <v>74</v>
      </c>
      <c r="AF643" t="s">
        <v>74</v>
      </c>
      <c r="AG643">
        <v>58</v>
      </c>
      <c r="AH643">
        <v>62</v>
      </c>
      <c r="AI643">
        <v>75</v>
      </c>
      <c r="AJ643">
        <v>0</v>
      </c>
      <c r="AK643">
        <v>11</v>
      </c>
      <c r="AL643" t="s">
        <v>1418</v>
      </c>
      <c r="AM643" t="s">
        <v>1419</v>
      </c>
      <c r="AN643" t="s">
        <v>1420</v>
      </c>
      <c r="AO643" t="s">
        <v>3466</v>
      </c>
      <c r="AP643" t="s">
        <v>3482</v>
      </c>
      <c r="AQ643" t="s">
        <v>74</v>
      </c>
      <c r="AR643" t="s">
        <v>3467</v>
      </c>
      <c r="AS643" t="s">
        <v>3468</v>
      </c>
      <c r="AT643" t="s">
        <v>8496</v>
      </c>
      <c r="AU643">
        <v>2004</v>
      </c>
      <c r="AV643">
        <v>49</v>
      </c>
      <c r="AW643">
        <v>4</v>
      </c>
      <c r="AX643" t="s">
        <v>74</v>
      </c>
      <c r="AY643" t="s">
        <v>74</v>
      </c>
      <c r="AZ643" t="s">
        <v>74</v>
      </c>
      <c r="BA643" t="s">
        <v>74</v>
      </c>
      <c r="BB643">
        <v>940</v>
      </c>
      <c r="BC643">
        <v>952</v>
      </c>
      <c r="BD643" t="s">
        <v>74</v>
      </c>
      <c r="BE643" t="s">
        <v>9399</v>
      </c>
      <c r="BF643" t="str">
        <f>HYPERLINK("http://dx.doi.org/10.4319/lo.2004.49.4.0940","http://dx.doi.org/10.4319/lo.2004.49.4.0940")</f>
        <v>http://dx.doi.org/10.4319/lo.2004.49.4.0940</v>
      </c>
      <c r="BG643" t="s">
        <v>74</v>
      </c>
      <c r="BH643" t="s">
        <v>74</v>
      </c>
      <c r="BI643">
        <v>13</v>
      </c>
      <c r="BJ643" t="s">
        <v>3470</v>
      </c>
      <c r="BK643" t="s">
        <v>139</v>
      </c>
      <c r="BL643" t="s">
        <v>1709</v>
      </c>
      <c r="BM643" t="s">
        <v>9390</v>
      </c>
      <c r="BN643" t="s">
        <v>74</v>
      </c>
      <c r="BO643" t="s">
        <v>74</v>
      </c>
      <c r="BP643" t="s">
        <v>74</v>
      </c>
      <c r="BQ643" t="s">
        <v>74</v>
      </c>
      <c r="BR643" t="s">
        <v>98</v>
      </c>
      <c r="BS643" t="s">
        <v>9400</v>
      </c>
      <c r="BT643" t="str">
        <f>HYPERLINK("https%3A%2F%2Fwww.webofscience.com%2Fwos%2Fwoscc%2Ffull-record%2FWOS:000224979700006","View Full Record in Web of Science")</f>
        <v>View Full Record in Web of Science</v>
      </c>
    </row>
    <row r="644" spans="1:72" x14ac:dyDescent="0.15">
      <c r="A644" t="s">
        <v>122</v>
      </c>
      <c r="B644" t="s">
        <v>9401</v>
      </c>
      <c r="C644" t="s">
        <v>74</v>
      </c>
      <c r="D644" t="s">
        <v>74</v>
      </c>
      <c r="E644" t="s">
        <v>74</v>
      </c>
      <c r="F644" t="s">
        <v>9401</v>
      </c>
      <c r="G644" t="s">
        <v>74</v>
      </c>
      <c r="H644" t="s">
        <v>74</v>
      </c>
      <c r="I644" t="s">
        <v>9402</v>
      </c>
      <c r="J644" t="s">
        <v>3454</v>
      </c>
      <c r="K644" t="s">
        <v>74</v>
      </c>
      <c r="L644" t="s">
        <v>74</v>
      </c>
      <c r="M644" t="s">
        <v>79</v>
      </c>
      <c r="N644" t="s">
        <v>126</v>
      </c>
      <c r="O644" t="s">
        <v>74</v>
      </c>
      <c r="P644" t="s">
        <v>74</v>
      </c>
      <c r="Q644" t="s">
        <v>74</v>
      </c>
      <c r="R644" t="s">
        <v>74</v>
      </c>
      <c r="S644" t="s">
        <v>74</v>
      </c>
      <c r="T644" t="s">
        <v>74</v>
      </c>
      <c r="U644" t="s">
        <v>9403</v>
      </c>
      <c r="V644" t="s">
        <v>9404</v>
      </c>
      <c r="W644" t="s">
        <v>9405</v>
      </c>
      <c r="X644" t="s">
        <v>9406</v>
      </c>
      <c r="Y644" t="s">
        <v>9407</v>
      </c>
      <c r="Z644" t="s">
        <v>9408</v>
      </c>
      <c r="AA644" t="s">
        <v>74</v>
      </c>
      <c r="AB644" t="s">
        <v>74</v>
      </c>
      <c r="AC644" t="s">
        <v>74</v>
      </c>
      <c r="AD644" t="s">
        <v>74</v>
      </c>
      <c r="AE644" t="s">
        <v>74</v>
      </c>
      <c r="AF644" t="s">
        <v>74</v>
      </c>
      <c r="AG644">
        <v>38</v>
      </c>
      <c r="AH644">
        <v>21</v>
      </c>
      <c r="AI644">
        <v>21</v>
      </c>
      <c r="AJ644">
        <v>0</v>
      </c>
      <c r="AK644">
        <v>9</v>
      </c>
      <c r="AL644" t="s">
        <v>1418</v>
      </c>
      <c r="AM644" t="s">
        <v>1419</v>
      </c>
      <c r="AN644" t="s">
        <v>1420</v>
      </c>
      <c r="AO644" t="s">
        <v>3466</v>
      </c>
      <c r="AP644" t="s">
        <v>3482</v>
      </c>
      <c r="AQ644" t="s">
        <v>74</v>
      </c>
      <c r="AR644" t="s">
        <v>3467</v>
      </c>
      <c r="AS644" t="s">
        <v>3468</v>
      </c>
      <c r="AT644" t="s">
        <v>8496</v>
      </c>
      <c r="AU644">
        <v>2004</v>
      </c>
      <c r="AV644">
        <v>49</v>
      </c>
      <c r="AW644">
        <v>4</v>
      </c>
      <c r="AX644" t="s">
        <v>74</v>
      </c>
      <c r="AY644" t="s">
        <v>74</v>
      </c>
      <c r="AZ644" t="s">
        <v>74</v>
      </c>
      <c r="BA644" t="s">
        <v>74</v>
      </c>
      <c r="BB644">
        <v>1035</v>
      </c>
      <c r="BC644">
        <v>1043</v>
      </c>
      <c r="BD644" t="s">
        <v>74</v>
      </c>
      <c r="BE644" t="s">
        <v>9409</v>
      </c>
      <c r="BF644" t="str">
        <f>HYPERLINK("http://dx.doi.org/10.4319/lo.2004.49.4.1035","http://dx.doi.org/10.4319/lo.2004.49.4.1035")</f>
        <v>http://dx.doi.org/10.4319/lo.2004.49.4.1035</v>
      </c>
      <c r="BG644" t="s">
        <v>74</v>
      </c>
      <c r="BH644" t="s">
        <v>74</v>
      </c>
      <c r="BI644">
        <v>9</v>
      </c>
      <c r="BJ644" t="s">
        <v>3470</v>
      </c>
      <c r="BK644" t="s">
        <v>139</v>
      </c>
      <c r="BL644" t="s">
        <v>1709</v>
      </c>
      <c r="BM644" t="s">
        <v>9390</v>
      </c>
      <c r="BN644" t="s">
        <v>74</v>
      </c>
      <c r="BO644" t="s">
        <v>273</v>
      </c>
      <c r="BP644" t="s">
        <v>74</v>
      </c>
      <c r="BQ644" t="s">
        <v>74</v>
      </c>
      <c r="BR644" t="s">
        <v>98</v>
      </c>
      <c r="BS644" t="s">
        <v>9410</v>
      </c>
      <c r="BT644" t="str">
        <f>HYPERLINK("https%3A%2F%2Fwww.webofscience.com%2Fwos%2Fwoscc%2Ffull-record%2FWOS:000224979700015","View Full Record in Web of Science")</f>
        <v>View Full Record in Web of Science</v>
      </c>
    </row>
    <row r="645" spans="1:72" x14ac:dyDescent="0.15">
      <c r="A645" t="s">
        <v>122</v>
      </c>
      <c r="B645" t="s">
        <v>9411</v>
      </c>
      <c r="C645" t="s">
        <v>74</v>
      </c>
      <c r="D645" t="s">
        <v>74</v>
      </c>
      <c r="E645" t="s">
        <v>74</v>
      </c>
      <c r="F645" t="s">
        <v>9411</v>
      </c>
      <c r="G645" t="s">
        <v>74</v>
      </c>
      <c r="H645" t="s">
        <v>74</v>
      </c>
      <c r="I645" t="s">
        <v>9412</v>
      </c>
      <c r="J645" t="s">
        <v>3454</v>
      </c>
      <c r="K645" t="s">
        <v>74</v>
      </c>
      <c r="L645" t="s">
        <v>74</v>
      </c>
      <c r="M645" t="s">
        <v>79</v>
      </c>
      <c r="N645" t="s">
        <v>126</v>
      </c>
      <c r="O645" t="s">
        <v>74</v>
      </c>
      <c r="P645" t="s">
        <v>74</v>
      </c>
      <c r="Q645" t="s">
        <v>74</v>
      </c>
      <c r="R645" t="s">
        <v>74</v>
      </c>
      <c r="S645" t="s">
        <v>74</v>
      </c>
      <c r="T645" t="s">
        <v>74</v>
      </c>
      <c r="U645" t="s">
        <v>9413</v>
      </c>
      <c r="V645" t="s">
        <v>9414</v>
      </c>
      <c r="W645" t="s">
        <v>9415</v>
      </c>
      <c r="X645" t="s">
        <v>9416</v>
      </c>
      <c r="Y645" t="s">
        <v>9417</v>
      </c>
      <c r="Z645" t="s">
        <v>9418</v>
      </c>
      <c r="AA645" t="s">
        <v>74</v>
      </c>
      <c r="AB645" t="s">
        <v>74</v>
      </c>
      <c r="AC645" t="s">
        <v>74</v>
      </c>
      <c r="AD645" t="s">
        <v>74</v>
      </c>
      <c r="AE645" t="s">
        <v>74</v>
      </c>
      <c r="AF645" t="s">
        <v>74</v>
      </c>
      <c r="AG645">
        <v>58</v>
      </c>
      <c r="AH645">
        <v>19</v>
      </c>
      <c r="AI645">
        <v>26</v>
      </c>
      <c r="AJ645">
        <v>0</v>
      </c>
      <c r="AK645">
        <v>12</v>
      </c>
      <c r="AL645" t="s">
        <v>1418</v>
      </c>
      <c r="AM645" t="s">
        <v>1419</v>
      </c>
      <c r="AN645" t="s">
        <v>1420</v>
      </c>
      <c r="AO645" t="s">
        <v>3466</v>
      </c>
      <c r="AP645" t="s">
        <v>3482</v>
      </c>
      <c r="AQ645" t="s">
        <v>74</v>
      </c>
      <c r="AR645" t="s">
        <v>3467</v>
      </c>
      <c r="AS645" t="s">
        <v>3468</v>
      </c>
      <c r="AT645" t="s">
        <v>8496</v>
      </c>
      <c r="AU645">
        <v>2004</v>
      </c>
      <c r="AV645">
        <v>49</v>
      </c>
      <c r="AW645">
        <v>4</v>
      </c>
      <c r="AX645" t="s">
        <v>74</v>
      </c>
      <c r="AY645" t="s">
        <v>74</v>
      </c>
      <c r="AZ645" t="s">
        <v>74</v>
      </c>
      <c r="BA645" t="s">
        <v>74</v>
      </c>
      <c r="BB645">
        <v>1044</v>
      </c>
      <c r="BC645">
        <v>1055</v>
      </c>
      <c r="BD645" t="s">
        <v>74</v>
      </c>
      <c r="BE645" t="s">
        <v>9419</v>
      </c>
      <c r="BF645" t="str">
        <f>HYPERLINK("http://dx.doi.org/10.4319/lo.2004.49.4.1044","http://dx.doi.org/10.4319/lo.2004.49.4.1044")</f>
        <v>http://dx.doi.org/10.4319/lo.2004.49.4.1044</v>
      </c>
      <c r="BG645" t="s">
        <v>74</v>
      </c>
      <c r="BH645" t="s">
        <v>74</v>
      </c>
      <c r="BI645">
        <v>12</v>
      </c>
      <c r="BJ645" t="s">
        <v>3470</v>
      </c>
      <c r="BK645" t="s">
        <v>139</v>
      </c>
      <c r="BL645" t="s">
        <v>1709</v>
      </c>
      <c r="BM645" t="s">
        <v>9390</v>
      </c>
      <c r="BN645" t="s">
        <v>74</v>
      </c>
      <c r="BO645" t="s">
        <v>273</v>
      </c>
      <c r="BP645" t="s">
        <v>74</v>
      </c>
      <c r="BQ645" t="s">
        <v>74</v>
      </c>
      <c r="BR645" t="s">
        <v>98</v>
      </c>
      <c r="BS645" t="s">
        <v>9420</v>
      </c>
      <c r="BT645" t="str">
        <f>HYPERLINK("https%3A%2F%2Fwww.webofscience.com%2Fwos%2Fwoscc%2Ffull-record%2FWOS:000224979700016","View Full Record in Web of Science")</f>
        <v>View Full Record in Web of Science</v>
      </c>
    </row>
    <row r="646" spans="1:72" x14ac:dyDescent="0.15">
      <c r="A646" t="s">
        <v>122</v>
      </c>
      <c r="B646" t="s">
        <v>9421</v>
      </c>
      <c r="C646" t="s">
        <v>74</v>
      </c>
      <c r="D646" t="s">
        <v>74</v>
      </c>
      <c r="E646" t="s">
        <v>74</v>
      </c>
      <c r="F646" t="s">
        <v>9421</v>
      </c>
      <c r="G646" t="s">
        <v>74</v>
      </c>
      <c r="H646" t="s">
        <v>74</v>
      </c>
      <c r="I646" t="s">
        <v>9422</v>
      </c>
      <c r="J646" t="s">
        <v>7931</v>
      </c>
      <c r="K646" t="s">
        <v>74</v>
      </c>
      <c r="L646" t="s">
        <v>74</v>
      </c>
      <c r="M646" t="s">
        <v>79</v>
      </c>
      <c r="N646" t="s">
        <v>126</v>
      </c>
      <c r="O646" t="s">
        <v>74</v>
      </c>
      <c r="P646" t="s">
        <v>74</v>
      </c>
      <c r="Q646" t="s">
        <v>74</v>
      </c>
      <c r="R646" t="s">
        <v>74</v>
      </c>
      <c r="S646" t="s">
        <v>74</v>
      </c>
      <c r="T646" t="s">
        <v>9423</v>
      </c>
      <c r="U646" t="s">
        <v>9424</v>
      </c>
      <c r="V646" t="s">
        <v>9425</v>
      </c>
      <c r="W646" t="s">
        <v>9426</v>
      </c>
      <c r="X646" t="s">
        <v>9427</v>
      </c>
      <c r="Y646" t="s">
        <v>9428</v>
      </c>
      <c r="Z646" t="s">
        <v>9429</v>
      </c>
      <c r="AA646" t="s">
        <v>74</v>
      </c>
      <c r="AB646" t="s">
        <v>9430</v>
      </c>
      <c r="AC646" t="s">
        <v>74</v>
      </c>
      <c r="AD646" t="s">
        <v>74</v>
      </c>
      <c r="AE646" t="s">
        <v>74</v>
      </c>
      <c r="AF646" t="s">
        <v>74</v>
      </c>
      <c r="AG646">
        <v>65</v>
      </c>
      <c r="AH646">
        <v>108</v>
      </c>
      <c r="AI646">
        <v>124</v>
      </c>
      <c r="AJ646">
        <v>0</v>
      </c>
      <c r="AK646">
        <v>40</v>
      </c>
      <c r="AL646" t="s">
        <v>531</v>
      </c>
      <c r="AM646" t="s">
        <v>532</v>
      </c>
      <c r="AN646" t="s">
        <v>533</v>
      </c>
      <c r="AO646" t="s">
        <v>7941</v>
      </c>
      <c r="AP646" t="s">
        <v>7942</v>
      </c>
      <c r="AQ646" t="s">
        <v>74</v>
      </c>
      <c r="AR646" t="s">
        <v>7931</v>
      </c>
      <c r="AS646" t="s">
        <v>7943</v>
      </c>
      <c r="AT646" t="s">
        <v>8496</v>
      </c>
      <c r="AU646">
        <v>2004</v>
      </c>
      <c r="AV646">
        <v>75</v>
      </c>
      <c r="AW646" t="s">
        <v>2537</v>
      </c>
      <c r="AX646" t="s">
        <v>74</v>
      </c>
      <c r="AY646" t="s">
        <v>74</v>
      </c>
      <c r="AZ646" t="s">
        <v>74</v>
      </c>
      <c r="BA646" t="s">
        <v>74</v>
      </c>
      <c r="BB646">
        <v>115</v>
      </c>
      <c r="BC646">
        <v>139</v>
      </c>
      <c r="BD646" t="s">
        <v>74</v>
      </c>
      <c r="BE646" t="s">
        <v>9431</v>
      </c>
      <c r="BF646" t="str">
        <f>HYPERLINK("http://dx.doi.org/10.1016/j.lithos.2003.12.021","http://dx.doi.org/10.1016/j.lithos.2003.12.021")</f>
        <v>http://dx.doi.org/10.1016/j.lithos.2003.12.021</v>
      </c>
      <c r="BG646" t="s">
        <v>74</v>
      </c>
      <c r="BH646" t="s">
        <v>74</v>
      </c>
      <c r="BI646">
        <v>25</v>
      </c>
      <c r="BJ646" t="s">
        <v>7945</v>
      </c>
      <c r="BK646" t="s">
        <v>139</v>
      </c>
      <c r="BL646" t="s">
        <v>7945</v>
      </c>
      <c r="BM646" t="s">
        <v>9432</v>
      </c>
      <c r="BN646" t="s">
        <v>74</v>
      </c>
      <c r="BO646" t="s">
        <v>74</v>
      </c>
      <c r="BP646" t="s">
        <v>74</v>
      </c>
      <c r="BQ646" t="s">
        <v>74</v>
      </c>
      <c r="BR646" t="s">
        <v>98</v>
      </c>
      <c r="BS646" t="s">
        <v>9433</v>
      </c>
      <c r="BT646" t="str">
        <f>HYPERLINK("https%3A%2F%2Fwww.webofscience.com%2Fwos%2Fwoscc%2Ffull-record%2FWOS:000222306700008","View Full Record in Web of Science")</f>
        <v>View Full Record in Web of Science</v>
      </c>
    </row>
    <row r="647" spans="1:72" x14ac:dyDescent="0.15">
      <c r="A647" t="s">
        <v>122</v>
      </c>
      <c r="B647" t="s">
        <v>9434</v>
      </c>
      <c r="C647" t="s">
        <v>74</v>
      </c>
      <c r="D647" t="s">
        <v>74</v>
      </c>
      <c r="E647" t="s">
        <v>74</v>
      </c>
      <c r="F647" t="s">
        <v>9434</v>
      </c>
      <c r="G647" t="s">
        <v>74</v>
      </c>
      <c r="H647" t="s">
        <v>74</v>
      </c>
      <c r="I647" t="s">
        <v>9435</v>
      </c>
      <c r="J647" t="s">
        <v>1751</v>
      </c>
      <c r="K647" t="s">
        <v>74</v>
      </c>
      <c r="L647" t="s">
        <v>74</v>
      </c>
      <c r="M647" t="s">
        <v>79</v>
      </c>
      <c r="N647" t="s">
        <v>126</v>
      </c>
      <c r="O647" t="s">
        <v>74</v>
      </c>
      <c r="P647" t="s">
        <v>74</v>
      </c>
      <c r="Q647" t="s">
        <v>74</v>
      </c>
      <c r="R647" t="s">
        <v>74</v>
      </c>
      <c r="S647" t="s">
        <v>74</v>
      </c>
      <c r="T647" t="s">
        <v>74</v>
      </c>
      <c r="U647" t="s">
        <v>9436</v>
      </c>
      <c r="V647" t="s">
        <v>9437</v>
      </c>
      <c r="W647" t="s">
        <v>9438</v>
      </c>
      <c r="X647" t="s">
        <v>9439</v>
      </c>
      <c r="Y647" t="s">
        <v>9440</v>
      </c>
      <c r="Z647" t="s">
        <v>9441</v>
      </c>
      <c r="AA647" t="s">
        <v>9442</v>
      </c>
      <c r="AB647" t="s">
        <v>9443</v>
      </c>
      <c r="AC647" t="s">
        <v>74</v>
      </c>
      <c r="AD647" t="s">
        <v>74</v>
      </c>
      <c r="AE647" t="s">
        <v>74</v>
      </c>
      <c r="AF647" t="s">
        <v>74</v>
      </c>
      <c r="AG647">
        <v>52</v>
      </c>
      <c r="AH647">
        <v>41</v>
      </c>
      <c r="AI647">
        <v>61</v>
      </c>
      <c r="AJ647">
        <v>1</v>
      </c>
      <c r="AK647">
        <v>25</v>
      </c>
      <c r="AL647" t="s">
        <v>1755</v>
      </c>
      <c r="AM647" t="s">
        <v>1756</v>
      </c>
      <c r="AN647" t="s">
        <v>1757</v>
      </c>
      <c r="AO647" t="s">
        <v>1758</v>
      </c>
      <c r="AP647" t="s">
        <v>1759</v>
      </c>
      <c r="AQ647" t="s">
        <v>74</v>
      </c>
      <c r="AR647" t="s">
        <v>1760</v>
      </c>
      <c r="AS647" t="s">
        <v>1761</v>
      </c>
      <c r="AT647" t="s">
        <v>8496</v>
      </c>
      <c r="AU647">
        <v>2004</v>
      </c>
      <c r="AV647">
        <v>145</v>
      </c>
      <c r="AW647">
        <v>1</v>
      </c>
      <c r="AX647" t="s">
        <v>74</v>
      </c>
      <c r="AY647" t="s">
        <v>74</v>
      </c>
      <c r="AZ647" t="s">
        <v>74</v>
      </c>
      <c r="BA647" t="s">
        <v>74</v>
      </c>
      <c r="BB647">
        <v>149</v>
      </c>
      <c r="BC647">
        <v>157</v>
      </c>
      <c r="BD647" t="s">
        <v>74</v>
      </c>
      <c r="BE647" t="s">
        <v>9444</v>
      </c>
      <c r="BF647" t="str">
        <f>HYPERLINK("http://dx.doi.org/10.1007/s00227-004-1306-x","http://dx.doi.org/10.1007/s00227-004-1306-x")</f>
        <v>http://dx.doi.org/10.1007/s00227-004-1306-x</v>
      </c>
      <c r="BG647" t="s">
        <v>74</v>
      </c>
      <c r="BH647" t="s">
        <v>74</v>
      </c>
      <c r="BI647">
        <v>9</v>
      </c>
      <c r="BJ647" t="s">
        <v>1763</v>
      </c>
      <c r="BK647" t="s">
        <v>139</v>
      </c>
      <c r="BL647" t="s">
        <v>1763</v>
      </c>
      <c r="BM647" t="s">
        <v>9445</v>
      </c>
      <c r="BN647" t="s">
        <v>74</v>
      </c>
      <c r="BO647" t="s">
        <v>74</v>
      </c>
      <c r="BP647" t="s">
        <v>74</v>
      </c>
      <c r="BQ647" t="s">
        <v>74</v>
      </c>
      <c r="BR647" t="s">
        <v>98</v>
      </c>
      <c r="BS647" t="s">
        <v>9446</v>
      </c>
      <c r="BT647" t="str">
        <f>HYPERLINK("https%3A%2F%2Fwww.webofscience.com%2Fwos%2Fwoscc%2Ffull-record%2FWOS:000222369500015","View Full Record in Web of Science")</f>
        <v>View Full Record in Web of Science</v>
      </c>
    </row>
    <row r="648" spans="1:72" x14ac:dyDescent="0.15">
      <c r="A648" t="s">
        <v>122</v>
      </c>
      <c r="B648" t="s">
        <v>9447</v>
      </c>
      <c r="C648" t="s">
        <v>74</v>
      </c>
      <c r="D648" t="s">
        <v>74</v>
      </c>
      <c r="E648" t="s">
        <v>74</v>
      </c>
      <c r="F648" t="s">
        <v>9447</v>
      </c>
      <c r="G648" t="s">
        <v>74</v>
      </c>
      <c r="H648" t="s">
        <v>74</v>
      </c>
      <c r="I648" t="s">
        <v>9448</v>
      </c>
      <c r="J648" t="s">
        <v>1751</v>
      </c>
      <c r="K648" t="s">
        <v>74</v>
      </c>
      <c r="L648" t="s">
        <v>74</v>
      </c>
      <c r="M648" t="s">
        <v>79</v>
      </c>
      <c r="N648" t="s">
        <v>126</v>
      </c>
      <c r="O648" t="s">
        <v>74</v>
      </c>
      <c r="P648" t="s">
        <v>74</v>
      </c>
      <c r="Q648" t="s">
        <v>74</v>
      </c>
      <c r="R648" t="s">
        <v>74</v>
      </c>
      <c r="S648" t="s">
        <v>74</v>
      </c>
      <c r="T648" t="s">
        <v>74</v>
      </c>
      <c r="U648" t="s">
        <v>9449</v>
      </c>
      <c r="V648" t="s">
        <v>9450</v>
      </c>
      <c r="W648" t="s">
        <v>9451</v>
      </c>
      <c r="X648" t="s">
        <v>6440</v>
      </c>
      <c r="Y648" t="s">
        <v>9452</v>
      </c>
      <c r="Z648" t="s">
        <v>9453</v>
      </c>
      <c r="AA648" t="s">
        <v>74</v>
      </c>
      <c r="AB648" t="s">
        <v>74</v>
      </c>
      <c r="AC648" t="s">
        <v>74</v>
      </c>
      <c r="AD648" t="s">
        <v>74</v>
      </c>
      <c r="AE648" t="s">
        <v>74</v>
      </c>
      <c r="AF648" t="s">
        <v>74</v>
      </c>
      <c r="AG648">
        <v>70</v>
      </c>
      <c r="AH648">
        <v>39</v>
      </c>
      <c r="AI648">
        <v>41</v>
      </c>
      <c r="AJ648">
        <v>1</v>
      </c>
      <c r="AK648">
        <v>20</v>
      </c>
      <c r="AL648" t="s">
        <v>1755</v>
      </c>
      <c r="AM648" t="s">
        <v>1756</v>
      </c>
      <c r="AN648" t="s">
        <v>1757</v>
      </c>
      <c r="AO648" t="s">
        <v>1758</v>
      </c>
      <c r="AP648" t="s">
        <v>1759</v>
      </c>
      <c r="AQ648" t="s">
        <v>74</v>
      </c>
      <c r="AR648" t="s">
        <v>1760</v>
      </c>
      <c r="AS648" t="s">
        <v>1761</v>
      </c>
      <c r="AT648" t="s">
        <v>8496</v>
      </c>
      <c r="AU648">
        <v>2004</v>
      </c>
      <c r="AV648">
        <v>145</v>
      </c>
      <c r="AW648">
        <v>1</v>
      </c>
      <c r="AX648" t="s">
        <v>74</v>
      </c>
      <c r="AY648" t="s">
        <v>74</v>
      </c>
      <c r="AZ648" t="s">
        <v>74</v>
      </c>
      <c r="BA648" t="s">
        <v>74</v>
      </c>
      <c r="BB648">
        <v>201</v>
      </c>
      <c r="BC648">
        <v>214</v>
      </c>
      <c r="BD648" t="s">
        <v>74</v>
      </c>
      <c r="BE648" t="s">
        <v>9454</v>
      </c>
      <c r="BF648" t="str">
        <f>HYPERLINK("http://dx.doi.org/10.1007/s00227-003-1291-5","http://dx.doi.org/10.1007/s00227-003-1291-5")</f>
        <v>http://dx.doi.org/10.1007/s00227-003-1291-5</v>
      </c>
      <c r="BG648" t="s">
        <v>74</v>
      </c>
      <c r="BH648" t="s">
        <v>74</v>
      </c>
      <c r="BI648">
        <v>14</v>
      </c>
      <c r="BJ648" t="s">
        <v>1763</v>
      </c>
      <c r="BK648" t="s">
        <v>139</v>
      </c>
      <c r="BL648" t="s">
        <v>1763</v>
      </c>
      <c r="BM648" t="s">
        <v>9445</v>
      </c>
      <c r="BN648" t="s">
        <v>74</v>
      </c>
      <c r="BO648" t="s">
        <v>74</v>
      </c>
      <c r="BP648" t="s">
        <v>74</v>
      </c>
      <c r="BQ648" t="s">
        <v>74</v>
      </c>
      <c r="BR648" t="s">
        <v>98</v>
      </c>
      <c r="BS648" t="s">
        <v>9455</v>
      </c>
      <c r="BT648" t="str">
        <f>HYPERLINK("https%3A%2F%2Fwww.webofscience.com%2Fwos%2Fwoscc%2Ffull-record%2FWOS:000222369500020","View Full Record in Web of Science")</f>
        <v>View Full Record in Web of Science</v>
      </c>
    </row>
    <row r="649" spans="1:72" x14ac:dyDescent="0.15">
      <c r="A649" t="s">
        <v>122</v>
      </c>
      <c r="B649" t="s">
        <v>9456</v>
      </c>
      <c r="C649" t="s">
        <v>74</v>
      </c>
      <c r="D649" t="s">
        <v>74</v>
      </c>
      <c r="E649" t="s">
        <v>74</v>
      </c>
      <c r="F649" t="s">
        <v>9456</v>
      </c>
      <c r="G649" t="s">
        <v>74</v>
      </c>
      <c r="H649" t="s">
        <v>74</v>
      </c>
      <c r="I649" t="s">
        <v>9457</v>
      </c>
      <c r="J649" t="s">
        <v>4826</v>
      </c>
      <c r="K649" t="s">
        <v>74</v>
      </c>
      <c r="L649" t="s">
        <v>74</v>
      </c>
      <c r="M649" t="s">
        <v>79</v>
      </c>
      <c r="N649" t="s">
        <v>126</v>
      </c>
      <c r="O649" t="s">
        <v>74</v>
      </c>
      <c r="P649" t="s">
        <v>74</v>
      </c>
      <c r="Q649" t="s">
        <v>74</v>
      </c>
      <c r="R649" t="s">
        <v>74</v>
      </c>
      <c r="S649" t="s">
        <v>74</v>
      </c>
      <c r="T649" t="s">
        <v>9458</v>
      </c>
      <c r="U649" t="s">
        <v>9459</v>
      </c>
      <c r="V649" t="s">
        <v>9460</v>
      </c>
      <c r="W649" t="s">
        <v>9461</v>
      </c>
      <c r="X649" t="s">
        <v>9462</v>
      </c>
      <c r="Y649" t="s">
        <v>9463</v>
      </c>
      <c r="Z649" t="s">
        <v>130</v>
      </c>
      <c r="AA649" t="s">
        <v>9464</v>
      </c>
      <c r="AB649" t="s">
        <v>9465</v>
      </c>
      <c r="AC649" t="s">
        <v>74</v>
      </c>
      <c r="AD649" t="s">
        <v>74</v>
      </c>
      <c r="AE649" t="s">
        <v>74</v>
      </c>
      <c r="AF649" t="s">
        <v>74</v>
      </c>
      <c r="AG649">
        <v>30</v>
      </c>
      <c r="AH649">
        <v>23</v>
      </c>
      <c r="AI649">
        <v>27</v>
      </c>
      <c r="AJ649">
        <v>0</v>
      </c>
      <c r="AK649">
        <v>9</v>
      </c>
      <c r="AL649" t="s">
        <v>1418</v>
      </c>
      <c r="AM649" t="s">
        <v>1419</v>
      </c>
      <c r="AN649" t="s">
        <v>1420</v>
      </c>
      <c r="AO649" t="s">
        <v>4838</v>
      </c>
      <c r="AP649" t="s">
        <v>9466</v>
      </c>
      <c r="AQ649" t="s">
        <v>74</v>
      </c>
      <c r="AR649" t="s">
        <v>4839</v>
      </c>
      <c r="AS649" t="s">
        <v>4840</v>
      </c>
      <c r="AT649" t="s">
        <v>8496</v>
      </c>
      <c r="AU649">
        <v>2004</v>
      </c>
      <c r="AV649">
        <v>20</v>
      </c>
      <c r="AW649">
        <v>3</v>
      </c>
      <c r="AX649" t="s">
        <v>74</v>
      </c>
      <c r="AY649" t="s">
        <v>74</v>
      </c>
      <c r="AZ649" t="s">
        <v>74</v>
      </c>
      <c r="BA649" t="s">
        <v>74</v>
      </c>
      <c r="BB649">
        <v>602</v>
      </c>
      <c r="BC649">
        <v>620</v>
      </c>
      <c r="BD649" t="s">
        <v>74</v>
      </c>
      <c r="BE649" t="s">
        <v>9467</v>
      </c>
      <c r="BF649" t="str">
        <f>HYPERLINK("http://dx.doi.org/10.1111/j.1748-7692.2004.tb01182.x","http://dx.doi.org/10.1111/j.1748-7692.2004.tb01182.x")</f>
        <v>http://dx.doi.org/10.1111/j.1748-7692.2004.tb01182.x</v>
      </c>
      <c r="BG649" t="s">
        <v>74</v>
      </c>
      <c r="BH649" t="s">
        <v>74</v>
      </c>
      <c r="BI649">
        <v>19</v>
      </c>
      <c r="BJ649" t="s">
        <v>4237</v>
      </c>
      <c r="BK649" t="s">
        <v>139</v>
      </c>
      <c r="BL649" t="s">
        <v>4237</v>
      </c>
      <c r="BM649" t="s">
        <v>9468</v>
      </c>
      <c r="BN649" t="s">
        <v>74</v>
      </c>
      <c r="BO649" t="s">
        <v>74</v>
      </c>
      <c r="BP649" t="s">
        <v>74</v>
      </c>
      <c r="BQ649" t="s">
        <v>74</v>
      </c>
      <c r="BR649" t="s">
        <v>98</v>
      </c>
      <c r="BS649" t="s">
        <v>9469</v>
      </c>
      <c r="BT649" t="str">
        <f>HYPERLINK("https%3A%2F%2Fwww.webofscience.com%2Fwos%2Fwoscc%2Ffull-record%2FWOS:000223013800016","View Full Record in Web of Science")</f>
        <v>View Full Record in Web of Science</v>
      </c>
    </row>
    <row r="650" spans="1:72" x14ac:dyDescent="0.15">
      <c r="A650" t="s">
        <v>122</v>
      </c>
      <c r="B650" t="s">
        <v>3504</v>
      </c>
      <c r="C650" t="s">
        <v>74</v>
      </c>
      <c r="D650" t="s">
        <v>74</v>
      </c>
      <c r="E650" t="s">
        <v>74</v>
      </c>
      <c r="F650" t="s">
        <v>3504</v>
      </c>
      <c r="G650" t="s">
        <v>74</v>
      </c>
      <c r="H650" t="s">
        <v>74</v>
      </c>
      <c r="I650" t="s">
        <v>9470</v>
      </c>
      <c r="J650" t="s">
        <v>1781</v>
      </c>
      <c r="K650" t="s">
        <v>74</v>
      </c>
      <c r="L650" t="s">
        <v>74</v>
      </c>
      <c r="M650" t="s">
        <v>79</v>
      </c>
      <c r="N650" t="s">
        <v>840</v>
      </c>
      <c r="O650" t="s">
        <v>74</v>
      </c>
      <c r="P650" t="s">
        <v>74</v>
      </c>
      <c r="Q650" t="s">
        <v>74</v>
      </c>
      <c r="R650" t="s">
        <v>74</v>
      </c>
      <c r="S650" t="s">
        <v>74</v>
      </c>
      <c r="T650" t="s">
        <v>74</v>
      </c>
      <c r="U650" t="s">
        <v>74</v>
      </c>
      <c r="V650" t="s">
        <v>74</v>
      </c>
      <c r="W650" t="s">
        <v>74</v>
      </c>
      <c r="X650" t="s">
        <v>74</v>
      </c>
      <c r="Y650" t="s">
        <v>74</v>
      </c>
      <c r="Z650" t="s">
        <v>74</v>
      </c>
      <c r="AA650" t="s">
        <v>74</v>
      </c>
      <c r="AB650" t="s">
        <v>74</v>
      </c>
      <c r="AC650" t="s">
        <v>74</v>
      </c>
      <c r="AD650" t="s">
        <v>74</v>
      </c>
      <c r="AE650" t="s">
        <v>74</v>
      </c>
      <c r="AF650" t="s">
        <v>74</v>
      </c>
      <c r="AG650">
        <v>0</v>
      </c>
      <c r="AH650">
        <v>0</v>
      </c>
      <c r="AI650">
        <v>0</v>
      </c>
      <c r="AJ650">
        <v>0</v>
      </c>
      <c r="AK650">
        <v>0</v>
      </c>
      <c r="AL650" t="s">
        <v>1273</v>
      </c>
      <c r="AM650" t="s">
        <v>197</v>
      </c>
      <c r="AN650" t="s">
        <v>1274</v>
      </c>
      <c r="AO650" t="s">
        <v>1791</v>
      </c>
      <c r="AP650" t="s">
        <v>1792</v>
      </c>
      <c r="AQ650" t="s">
        <v>74</v>
      </c>
      <c r="AR650" t="s">
        <v>1793</v>
      </c>
      <c r="AS650" t="s">
        <v>1794</v>
      </c>
      <c r="AT650" t="s">
        <v>8496</v>
      </c>
      <c r="AU650">
        <v>2004</v>
      </c>
      <c r="AV650">
        <v>49</v>
      </c>
      <c r="AW650" t="s">
        <v>2537</v>
      </c>
      <c r="AX650" t="s">
        <v>74</v>
      </c>
      <c r="AY650" t="s">
        <v>74</v>
      </c>
      <c r="AZ650" t="s">
        <v>74</v>
      </c>
      <c r="BA650" t="s">
        <v>74</v>
      </c>
      <c r="BB650">
        <v>5</v>
      </c>
      <c r="BC650">
        <v>5</v>
      </c>
      <c r="BD650" t="s">
        <v>74</v>
      </c>
      <c r="BE650" t="s">
        <v>74</v>
      </c>
      <c r="BF650" t="s">
        <v>74</v>
      </c>
      <c r="BG650" t="s">
        <v>74</v>
      </c>
      <c r="BH650" t="s">
        <v>74</v>
      </c>
      <c r="BI650">
        <v>1</v>
      </c>
      <c r="BJ650" t="s">
        <v>1796</v>
      </c>
      <c r="BK650" t="s">
        <v>139</v>
      </c>
      <c r="BL650" t="s">
        <v>1797</v>
      </c>
      <c r="BM650" t="s">
        <v>9471</v>
      </c>
      <c r="BN650" t="s">
        <v>74</v>
      </c>
      <c r="BO650" t="s">
        <v>74</v>
      </c>
      <c r="BP650" t="s">
        <v>74</v>
      </c>
      <c r="BQ650" t="s">
        <v>74</v>
      </c>
      <c r="BR650" t="s">
        <v>98</v>
      </c>
      <c r="BS650" t="s">
        <v>9472</v>
      </c>
      <c r="BT650" t="str">
        <f>HYPERLINK("https%3A%2F%2Fwww.webofscience.com%2Fwos%2Fwoscc%2Ffull-record%2FWOS:000222939800006","View Full Record in Web of Science")</f>
        <v>View Full Record in Web of Science</v>
      </c>
    </row>
    <row r="651" spans="1:72" x14ac:dyDescent="0.15">
      <c r="A651" t="s">
        <v>122</v>
      </c>
      <c r="B651" t="s">
        <v>9473</v>
      </c>
      <c r="C651" t="s">
        <v>74</v>
      </c>
      <c r="D651" t="s">
        <v>74</v>
      </c>
      <c r="E651" t="s">
        <v>74</v>
      </c>
      <c r="F651" t="s">
        <v>9473</v>
      </c>
      <c r="G651" t="s">
        <v>74</v>
      </c>
      <c r="H651" t="s">
        <v>74</v>
      </c>
      <c r="I651" t="s">
        <v>9474</v>
      </c>
      <c r="J651" t="s">
        <v>1781</v>
      </c>
      <c r="K651" t="s">
        <v>74</v>
      </c>
      <c r="L651" t="s">
        <v>74</v>
      </c>
      <c r="M651" t="s">
        <v>79</v>
      </c>
      <c r="N651" t="s">
        <v>126</v>
      </c>
      <c r="O651" t="s">
        <v>74</v>
      </c>
      <c r="P651" t="s">
        <v>74</v>
      </c>
      <c r="Q651" t="s">
        <v>74</v>
      </c>
      <c r="R651" t="s">
        <v>74</v>
      </c>
      <c r="S651" t="s">
        <v>74</v>
      </c>
      <c r="T651" t="s">
        <v>74</v>
      </c>
      <c r="U651" t="s">
        <v>9475</v>
      </c>
      <c r="V651" t="s">
        <v>74</v>
      </c>
      <c r="W651" t="s">
        <v>9476</v>
      </c>
      <c r="X651" t="s">
        <v>9477</v>
      </c>
      <c r="Y651" t="s">
        <v>9478</v>
      </c>
      <c r="Z651" t="s">
        <v>9479</v>
      </c>
      <c r="AA651" t="s">
        <v>74</v>
      </c>
      <c r="AB651" t="s">
        <v>74</v>
      </c>
      <c r="AC651" t="s">
        <v>74</v>
      </c>
      <c r="AD651" t="s">
        <v>74</v>
      </c>
      <c r="AE651" t="s">
        <v>74</v>
      </c>
      <c r="AF651" t="s">
        <v>74</v>
      </c>
      <c r="AG651">
        <v>44</v>
      </c>
      <c r="AH651">
        <v>35</v>
      </c>
      <c r="AI651">
        <v>39</v>
      </c>
      <c r="AJ651">
        <v>0</v>
      </c>
      <c r="AK651">
        <v>18</v>
      </c>
      <c r="AL651" t="s">
        <v>1273</v>
      </c>
      <c r="AM651" t="s">
        <v>197</v>
      </c>
      <c r="AN651" t="s">
        <v>1274</v>
      </c>
      <c r="AO651" t="s">
        <v>1791</v>
      </c>
      <c r="AP651" t="s">
        <v>1792</v>
      </c>
      <c r="AQ651" t="s">
        <v>74</v>
      </c>
      <c r="AR651" t="s">
        <v>1793</v>
      </c>
      <c r="AS651" t="s">
        <v>1794</v>
      </c>
      <c r="AT651" t="s">
        <v>8496</v>
      </c>
      <c r="AU651">
        <v>2004</v>
      </c>
      <c r="AV651">
        <v>49</v>
      </c>
      <c r="AW651" t="s">
        <v>2537</v>
      </c>
      <c r="AX651" t="s">
        <v>74</v>
      </c>
      <c r="AY651" t="s">
        <v>74</v>
      </c>
      <c r="AZ651" t="s">
        <v>74</v>
      </c>
      <c r="BA651" t="s">
        <v>74</v>
      </c>
      <c r="BB651">
        <v>119</v>
      </c>
      <c r="BC651">
        <v>127</v>
      </c>
      <c r="BD651" t="s">
        <v>74</v>
      </c>
      <c r="BE651" t="s">
        <v>9480</v>
      </c>
      <c r="BF651" t="str">
        <f>HYPERLINK("http://dx.doi.org/10.1016/j.marpolbul.2004.03.008","http://dx.doi.org/10.1016/j.marpolbul.2004.03.008")</f>
        <v>http://dx.doi.org/10.1016/j.marpolbul.2004.03.008</v>
      </c>
      <c r="BG651" t="s">
        <v>74</v>
      </c>
      <c r="BH651" t="s">
        <v>74</v>
      </c>
      <c r="BI651">
        <v>9</v>
      </c>
      <c r="BJ651" t="s">
        <v>1796</v>
      </c>
      <c r="BK651" t="s">
        <v>139</v>
      </c>
      <c r="BL651" t="s">
        <v>1797</v>
      </c>
      <c r="BM651" t="s">
        <v>9471</v>
      </c>
      <c r="BN651">
        <v>15234881</v>
      </c>
      <c r="BO651" t="s">
        <v>74</v>
      </c>
      <c r="BP651" t="s">
        <v>74</v>
      </c>
      <c r="BQ651" t="s">
        <v>74</v>
      </c>
      <c r="BR651" t="s">
        <v>98</v>
      </c>
      <c r="BS651" t="s">
        <v>9481</v>
      </c>
      <c r="BT651" t="str">
        <f>HYPERLINK("https%3A%2F%2Fwww.webofscience.com%2Fwos%2Fwoscc%2Ffull-record%2FWOS:000222939800025","View Full Record in Web of Science")</f>
        <v>View Full Record in Web of Science</v>
      </c>
    </row>
    <row r="652" spans="1:72" x14ac:dyDescent="0.15">
      <c r="A652" t="s">
        <v>122</v>
      </c>
      <c r="B652" t="s">
        <v>3504</v>
      </c>
      <c r="C652" t="s">
        <v>74</v>
      </c>
      <c r="D652" t="s">
        <v>74</v>
      </c>
      <c r="E652" t="s">
        <v>74</v>
      </c>
      <c r="F652" t="s">
        <v>3504</v>
      </c>
      <c r="G652" t="s">
        <v>74</v>
      </c>
      <c r="H652" t="s">
        <v>74</v>
      </c>
      <c r="I652" t="s">
        <v>9482</v>
      </c>
      <c r="J652" t="s">
        <v>9483</v>
      </c>
      <c r="K652" t="s">
        <v>74</v>
      </c>
      <c r="L652" t="s">
        <v>74</v>
      </c>
      <c r="M652" t="s">
        <v>79</v>
      </c>
      <c r="N652" t="s">
        <v>840</v>
      </c>
      <c r="O652" t="s">
        <v>74</v>
      </c>
      <c r="P652" t="s">
        <v>74</v>
      </c>
      <c r="Q652" t="s">
        <v>74</v>
      </c>
      <c r="R652" t="s">
        <v>74</v>
      </c>
      <c r="S652" t="s">
        <v>74</v>
      </c>
      <c r="T652" t="s">
        <v>74</v>
      </c>
      <c r="U652" t="s">
        <v>74</v>
      </c>
      <c r="V652" t="s">
        <v>74</v>
      </c>
      <c r="W652" t="s">
        <v>74</v>
      </c>
      <c r="X652" t="s">
        <v>74</v>
      </c>
      <c r="Y652" t="s">
        <v>74</v>
      </c>
      <c r="Z652" t="s">
        <v>74</v>
      </c>
      <c r="AA652" t="s">
        <v>74</v>
      </c>
      <c r="AB652" t="s">
        <v>74</v>
      </c>
      <c r="AC652" t="s">
        <v>74</v>
      </c>
      <c r="AD652" t="s">
        <v>74</v>
      </c>
      <c r="AE652" t="s">
        <v>74</v>
      </c>
      <c r="AF652" t="s">
        <v>74</v>
      </c>
      <c r="AG652">
        <v>0</v>
      </c>
      <c r="AH652">
        <v>0</v>
      </c>
      <c r="AI652">
        <v>0</v>
      </c>
      <c r="AJ652">
        <v>0</v>
      </c>
      <c r="AK652">
        <v>1</v>
      </c>
      <c r="AL652" t="s">
        <v>9484</v>
      </c>
      <c r="AM652" t="s">
        <v>375</v>
      </c>
      <c r="AN652" t="s">
        <v>9485</v>
      </c>
      <c r="AO652" t="s">
        <v>9486</v>
      </c>
      <c r="AP652" t="s">
        <v>74</v>
      </c>
      <c r="AQ652" t="s">
        <v>74</v>
      </c>
      <c r="AR652" t="s">
        <v>9487</v>
      </c>
      <c r="AS652" t="s">
        <v>9488</v>
      </c>
      <c r="AT652" t="s">
        <v>8496</v>
      </c>
      <c r="AU652">
        <v>2004</v>
      </c>
      <c r="AV652">
        <v>12</v>
      </c>
      <c r="AW652">
        <v>7</v>
      </c>
      <c r="AX652" t="s">
        <v>74</v>
      </c>
      <c r="AY652" t="s">
        <v>74</v>
      </c>
      <c r="AZ652" t="s">
        <v>74</v>
      </c>
      <c r="BA652" t="s">
        <v>74</v>
      </c>
      <c r="BB652">
        <v>13</v>
      </c>
      <c r="BC652">
        <v>13</v>
      </c>
      <c r="BD652" t="s">
        <v>74</v>
      </c>
      <c r="BE652" t="s">
        <v>74</v>
      </c>
      <c r="BF652" t="s">
        <v>74</v>
      </c>
      <c r="BG652" t="s">
        <v>74</v>
      </c>
      <c r="BH652" t="s">
        <v>74</v>
      </c>
      <c r="BI652">
        <v>1</v>
      </c>
      <c r="BJ652" t="s">
        <v>9489</v>
      </c>
      <c r="BK652" t="s">
        <v>139</v>
      </c>
      <c r="BL652" t="s">
        <v>9490</v>
      </c>
      <c r="BM652" t="s">
        <v>9491</v>
      </c>
      <c r="BN652" t="s">
        <v>74</v>
      </c>
      <c r="BO652" t="s">
        <v>74</v>
      </c>
      <c r="BP652" t="s">
        <v>74</v>
      </c>
      <c r="BQ652" t="s">
        <v>74</v>
      </c>
      <c r="BR652" t="s">
        <v>98</v>
      </c>
      <c r="BS652" t="s">
        <v>9492</v>
      </c>
      <c r="BT652" t="str">
        <f>HYPERLINK("https%3A%2F%2Fwww.webofscience.com%2Fwos%2Fwoscc%2Ffull-record%2FWOS:000223194800013","View Full Record in Web of Science")</f>
        <v>View Full Record in Web of Science</v>
      </c>
    </row>
    <row r="653" spans="1:72" x14ac:dyDescent="0.15">
      <c r="A653" t="s">
        <v>122</v>
      </c>
      <c r="B653" t="s">
        <v>9493</v>
      </c>
      <c r="C653" t="s">
        <v>74</v>
      </c>
      <c r="D653" t="s">
        <v>74</v>
      </c>
      <c r="E653" t="s">
        <v>74</v>
      </c>
      <c r="F653" t="s">
        <v>9493</v>
      </c>
      <c r="G653" t="s">
        <v>74</v>
      </c>
      <c r="H653" t="s">
        <v>74</v>
      </c>
      <c r="I653" t="s">
        <v>9494</v>
      </c>
      <c r="J653" t="s">
        <v>9495</v>
      </c>
      <c r="K653" t="s">
        <v>74</v>
      </c>
      <c r="L653" t="s">
        <v>74</v>
      </c>
      <c r="M653" t="s">
        <v>79</v>
      </c>
      <c r="N653" t="s">
        <v>126</v>
      </c>
      <c r="O653" t="s">
        <v>74</v>
      </c>
      <c r="P653" t="s">
        <v>74</v>
      </c>
      <c r="Q653" t="s">
        <v>74</v>
      </c>
      <c r="R653" t="s">
        <v>74</v>
      </c>
      <c r="S653" t="s">
        <v>74</v>
      </c>
      <c r="T653" t="s">
        <v>9496</v>
      </c>
      <c r="U653" t="s">
        <v>9497</v>
      </c>
      <c r="V653" t="s">
        <v>9498</v>
      </c>
      <c r="W653" t="s">
        <v>9499</v>
      </c>
      <c r="X653" t="s">
        <v>9500</v>
      </c>
      <c r="Y653" t="s">
        <v>9501</v>
      </c>
      <c r="Z653" t="s">
        <v>74</v>
      </c>
      <c r="AA653" t="s">
        <v>9502</v>
      </c>
      <c r="AB653" t="s">
        <v>9503</v>
      </c>
      <c r="AC653" t="s">
        <v>74</v>
      </c>
      <c r="AD653" t="s">
        <v>74</v>
      </c>
      <c r="AE653" t="s">
        <v>74</v>
      </c>
      <c r="AF653" t="s">
        <v>74</v>
      </c>
      <c r="AG653">
        <v>14</v>
      </c>
      <c r="AH653">
        <v>2</v>
      </c>
      <c r="AI653">
        <v>2</v>
      </c>
      <c r="AJ653">
        <v>0</v>
      </c>
      <c r="AK653">
        <v>13</v>
      </c>
      <c r="AL653" t="s">
        <v>6788</v>
      </c>
      <c r="AM653" t="s">
        <v>613</v>
      </c>
      <c r="AN653" t="s">
        <v>6789</v>
      </c>
      <c r="AO653" t="s">
        <v>9504</v>
      </c>
      <c r="AP653" t="s">
        <v>74</v>
      </c>
      <c r="AQ653" t="s">
        <v>74</v>
      </c>
      <c r="AR653" t="s">
        <v>9505</v>
      </c>
      <c r="AS653" t="s">
        <v>1536</v>
      </c>
      <c r="AT653" t="s">
        <v>8757</v>
      </c>
      <c r="AU653">
        <v>2004</v>
      </c>
      <c r="AV653">
        <v>73</v>
      </c>
      <c r="AW653">
        <v>4</v>
      </c>
      <c r="AX653" t="s">
        <v>74</v>
      </c>
      <c r="AY653" t="s">
        <v>74</v>
      </c>
      <c r="AZ653" t="s">
        <v>74</v>
      </c>
      <c r="BA653" t="s">
        <v>74</v>
      </c>
      <c r="BB653">
        <v>420</v>
      </c>
      <c r="BC653">
        <v>424</v>
      </c>
      <c r="BD653" t="s">
        <v>74</v>
      </c>
      <c r="BE653" t="s">
        <v>9506</v>
      </c>
      <c r="BF653" t="str">
        <f>HYPERLINK("http://dx.doi.org/10.1023/B:MICI.0000036987.18559.1f","http://dx.doi.org/10.1023/B:MICI.0000036987.18559.1f")</f>
        <v>http://dx.doi.org/10.1023/B:MICI.0000036987.18559.1f</v>
      </c>
      <c r="BG653" t="s">
        <v>74</v>
      </c>
      <c r="BH653" t="s">
        <v>74</v>
      </c>
      <c r="BI653">
        <v>5</v>
      </c>
      <c r="BJ653" t="s">
        <v>1536</v>
      </c>
      <c r="BK653" t="s">
        <v>139</v>
      </c>
      <c r="BL653" t="s">
        <v>1536</v>
      </c>
      <c r="BM653" t="s">
        <v>9507</v>
      </c>
      <c r="BN653" t="s">
        <v>74</v>
      </c>
      <c r="BO653" t="s">
        <v>74</v>
      </c>
      <c r="BP653" t="s">
        <v>74</v>
      </c>
      <c r="BQ653" t="s">
        <v>74</v>
      </c>
      <c r="BR653" t="s">
        <v>98</v>
      </c>
      <c r="BS653" t="s">
        <v>9508</v>
      </c>
      <c r="BT653" t="str">
        <f>HYPERLINK("https%3A%2F%2Fwww.webofscience.com%2Fwos%2Fwoscc%2Ffull-record%2FWOS:000223558900011","View Full Record in Web of Science")</f>
        <v>View Full Record in Web of Science</v>
      </c>
    </row>
    <row r="654" spans="1:72" x14ac:dyDescent="0.15">
      <c r="A654" t="s">
        <v>122</v>
      </c>
      <c r="B654" t="s">
        <v>9493</v>
      </c>
      <c r="C654" t="s">
        <v>74</v>
      </c>
      <c r="D654" t="s">
        <v>74</v>
      </c>
      <c r="E654" t="s">
        <v>74</v>
      </c>
      <c r="F654" t="s">
        <v>9493</v>
      </c>
      <c r="G654" t="s">
        <v>74</v>
      </c>
      <c r="H654" t="s">
        <v>74</v>
      </c>
      <c r="I654" t="s">
        <v>9509</v>
      </c>
      <c r="J654" t="s">
        <v>9495</v>
      </c>
      <c r="K654" t="s">
        <v>74</v>
      </c>
      <c r="L654" t="s">
        <v>74</v>
      </c>
      <c r="M654" t="s">
        <v>79</v>
      </c>
      <c r="N654" t="s">
        <v>126</v>
      </c>
      <c r="O654" t="s">
        <v>74</v>
      </c>
      <c r="P654" t="s">
        <v>74</v>
      </c>
      <c r="Q654" t="s">
        <v>74</v>
      </c>
      <c r="R654" t="s">
        <v>74</v>
      </c>
      <c r="S654" t="s">
        <v>74</v>
      </c>
      <c r="T654" t="s">
        <v>74</v>
      </c>
      <c r="U654" t="s">
        <v>74</v>
      </c>
      <c r="V654" t="s">
        <v>74</v>
      </c>
      <c r="W654" t="s">
        <v>9510</v>
      </c>
      <c r="X654" t="s">
        <v>9511</v>
      </c>
      <c r="Y654" t="s">
        <v>9512</v>
      </c>
      <c r="Z654" t="s">
        <v>74</v>
      </c>
      <c r="AA654" t="s">
        <v>9502</v>
      </c>
      <c r="AB654" t="s">
        <v>9503</v>
      </c>
      <c r="AC654" t="s">
        <v>74</v>
      </c>
      <c r="AD654" t="s">
        <v>74</v>
      </c>
      <c r="AE654" t="s">
        <v>74</v>
      </c>
      <c r="AF654" t="s">
        <v>74</v>
      </c>
      <c r="AG654">
        <v>5</v>
      </c>
      <c r="AH654">
        <v>8</v>
      </c>
      <c r="AI654">
        <v>10</v>
      </c>
      <c r="AJ654">
        <v>0</v>
      </c>
      <c r="AK654">
        <v>1</v>
      </c>
      <c r="AL654" t="s">
        <v>6788</v>
      </c>
      <c r="AM654" t="s">
        <v>613</v>
      </c>
      <c r="AN654" t="s">
        <v>6789</v>
      </c>
      <c r="AO654" t="s">
        <v>9504</v>
      </c>
      <c r="AP654" t="s">
        <v>74</v>
      </c>
      <c r="AQ654" t="s">
        <v>74</v>
      </c>
      <c r="AR654" t="s">
        <v>9505</v>
      </c>
      <c r="AS654" t="s">
        <v>1536</v>
      </c>
      <c r="AT654" t="s">
        <v>8757</v>
      </c>
      <c r="AU654">
        <v>2004</v>
      </c>
      <c r="AV654">
        <v>73</v>
      </c>
      <c r="AW654">
        <v>4</v>
      </c>
      <c r="AX654" t="s">
        <v>74</v>
      </c>
      <c r="AY654" t="s">
        <v>74</v>
      </c>
      <c r="AZ654" t="s">
        <v>74</v>
      </c>
      <c r="BA654" t="s">
        <v>74</v>
      </c>
      <c r="BB654">
        <v>485</v>
      </c>
      <c r="BC654">
        <v>487</v>
      </c>
      <c r="BD654" t="s">
        <v>74</v>
      </c>
      <c r="BE654" t="s">
        <v>9513</v>
      </c>
      <c r="BF654" t="str">
        <f>HYPERLINK("http://dx.doi.org/10.1023/B:MICI.0000036996.39439.a0","http://dx.doi.org/10.1023/B:MICI.0000036996.39439.a0")</f>
        <v>http://dx.doi.org/10.1023/B:MICI.0000036996.39439.a0</v>
      </c>
      <c r="BG654" t="s">
        <v>74</v>
      </c>
      <c r="BH654" t="s">
        <v>74</v>
      </c>
      <c r="BI654">
        <v>3</v>
      </c>
      <c r="BJ654" t="s">
        <v>1536</v>
      </c>
      <c r="BK654" t="s">
        <v>139</v>
      </c>
      <c r="BL654" t="s">
        <v>1536</v>
      </c>
      <c r="BM654" t="s">
        <v>9507</v>
      </c>
      <c r="BN654" t="s">
        <v>74</v>
      </c>
      <c r="BO654" t="s">
        <v>74</v>
      </c>
      <c r="BP654" t="s">
        <v>74</v>
      </c>
      <c r="BQ654" t="s">
        <v>74</v>
      </c>
      <c r="BR654" t="s">
        <v>98</v>
      </c>
      <c r="BS654" t="s">
        <v>9514</v>
      </c>
      <c r="BT654" t="str">
        <f>HYPERLINK("https%3A%2F%2Fwww.webofscience.com%2Fwos%2Fwoscc%2Ffull-record%2FWOS:000223558900020","View Full Record in Web of Science")</f>
        <v>View Full Record in Web of Science</v>
      </c>
    </row>
    <row r="655" spans="1:72" x14ac:dyDescent="0.15">
      <c r="A655" t="s">
        <v>122</v>
      </c>
      <c r="B655" t="s">
        <v>9515</v>
      </c>
      <c r="C655" t="s">
        <v>74</v>
      </c>
      <c r="D655" t="s">
        <v>74</v>
      </c>
      <c r="E655" t="s">
        <v>74</v>
      </c>
      <c r="F655" t="s">
        <v>9515</v>
      </c>
      <c r="G655" t="s">
        <v>74</v>
      </c>
      <c r="H655" t="s">
        <v>74</v>
      </c>
      <c r="I655" t="s">
        <v>9516</v>
      </c>
      <c r="J655" t="s">
        <v>9517</v>
      </c>
      <c r="K655" t="s">
        <v>74</v>
      </c>
      <c r="L655" t="s">
        <v>74</v>
      </c>
      <c r="M655" t="s">
        <v>79</v>
      </c>
      <c r="N655" t="s">
        <v>126</v>
      </c>
      <c r="O655" t="s">
        <v>74</v>
      </c>
      <c r="P655" t="s">
        <v>74</v>
      </c>
      <c r="Q655" t="s">
        <v>74</v>
      </c>
      <c r="R655" t="s">
        <v>74</v>
      </c>
      <c r="S655" t="s">
        <v>74</v>
      </c>
      <c r="T655" t="s">
        <v>74</v>
      </c>
      <c r="U655" t="s">
        <v>9518</v>
      </c>
      <c r="V655" t="s">
        <v>9519</v>
      </c>
      <c r="W655" t="s">
        <v>9520</v>
      </c>
      <c r="X655" t="s">
        <v>9521</v>
      </c>
      <c r="Y655" t="s">
        <v>1527</v>
      </c>
      <c r="Z655" t="s">
        <v>1528</v>
      </c>
      <c r="AA655" t="s">
        <v>9522</v>
      </c>
      <c r="AB655" t="s">
        <v>9523</v>
      </c>
      <c r="AC655" t="s">
        <v>74</v>
      </c>
      <c r="AD655" t="s">
        <v>74</v>
      </c>
      <c r="AE655" t="s">
        <v>74</v>
      </c>
      <c r="AF655" t="s">
        <v>74</v>
      </c>
      <c r="AG655">
        <v>50</v>
      </c>
      <c r="AH655">
        <v>117</v>
      </c>
      <c r="AI655">
        <v>127</v>
      </c>
      <c r="AJ655">
        <v>2</v>
      </c>
      <c r="AK655">
        <v>22</v>
      </c>
      <c r="AL655" t="s">
        <v>1418</v>
      </c>
      <c r="AM655" t="s">
        <v>1419</v>
      </c>
      <c r="AN655" t="s">
        <v>1420</v>
      </c>
      <c r="AO655" t="s">
        <v>9524</v>
      </c>
      <c r="AP655" t="s">
        <v>9525</v>
      </c>
      <c r="AQ655" t="s">
        <v>74</v>
      </c>
      <c r="AR655" t="s">
        <v>9526</v>
      </c>
      <c r="AS655" t="s">
        <v>9527</v>
      </c>
      <c r="AT655" t="s">
        <v>8496</v>
      </c>
      <c r="AU655">
        <v>2004</v>
      </c>
      <c r="AV655">
        <v>53</v>
      </c>
      <c r="AW655">
        <v>1</v>
      </c>
      <c r="AX655" t="s">
        <v>74</v>
      </c>
      <c r="AY655" t="s">
        <v>74</v>
      </c>
      <c r="AZ655" t="s">
        <v>74</v>
      </c>
      <c r="BA655" t="s">
        <v>74</v>
      </c>
      <c r="BB655">
        <v>309</v>
      </c>
      <c r="BC655">
        <v>321</v>
      </c>
      <c r="BD655" t="s">
        <v>74</v>
      </c>
      <c r="BE655" t="s">
        <v>9528</v>
      </c>
      <c r="BF655" t="str">
        <f>HYPERLINK("http://dx.doi.org/10.1111/j.1365-2958.2004.04130.x","http://dx.doi.org/10.1111/j.1365-2958.2004.04130.x")</f>
        <v>http://dx.doi.org/10.1111/j.1365-2958.2004.04130.x</v>
      </c>
      <c r="BG655" t="s">
        <v>74</v>
      </c>
      <c r="BH655" t="s">
        <v>74</v>
      </c>
      <c r="BI655">
        <v>13</v>
      </c>
      <c r="BJ655" t="s">
        <v>9529</v>
      </c>
      <c r="BK655" t="s">
        <v>139</v>
      </c>
      <c r="BL655" t="s">
        <v>9529</v>
      </c>
      <c r="BM655" t="s">
        <v>9530</v>
      </c>
      <c r="BN655">
        <v>15225324</v>
      </c>
      <c r="BO655" t="s">
        <v>273</v>
      </c>
      <c r="BP655" t="s">
        <v>74</v>
      </c>
      <c r="BQ655" t="s">
        <v>74</v>
      </c>
      <c r="BR655" t="s">
        <v>98</v>
      </c>
      <c r="BS655" t="s">
        <v>9531</v>
      </c>
      <c r="BT655" t="str">
        <f>HYPERLINK("https%3A%2F%2Fwww.webofscience.com%2Fwos%2Fwoscc%2Ffull-record%2FWOS:000222208100027","View Full Record in Web of Science")</f>
        <v>View Full Record in Web of Science</v>
      </c>
    </row>
    <row r="656" spans="1:72" x14ac:dyDescent="0.15">
      <c r="A656" t="s">
        <v>122</v>
      </c>
      <c r="B656" t="s">
        <v>9532</v>
      </c>
      <c r="C656" t="s">
        <v>74</v>
      </c>
      <c r="D656" t="s">
        <v>74</v>
      </c>
      <c r="E656" t="s">
        <v>74</v>
      </c>
      <c r="F656" t="s">
        <v>9532</v>
      </c>
      <c r="G656" t="s">
        <v>74</v>
      </c>
      <c r="H656" t="s">
        <v>74</v>
      </c>
      <c r="I656" t="s">
        <v>9533</v>
      </c>
      <c r="J656" t="s">
        <v>9534</v>
      </c>
      <c r="K656" t="s">
        <v>74</v>
      </c>
      <c r="L656" t="s">
        <v>74</v>
      </c>
      <c r="M656" t="s">
        <v>79</v>
      </c>
      <c r="N656" t="s">
        <v>581</v>
      </c>
      <c r="O656" t="s">
        <v>74</v>
      </c>
      <c r="P656" t="s">
        <v>74</v>
      </c>
      <c r="Q656" t="s">
        <v>74</v>
      </c>
      <c r="R656" t="s">
        <v>74</v>
      </c>
      <c r="S656" t="s">
        <v>74</v>
      </c>
      <c r="T656" t="s">
        <v>9535</v>
      </c>
      <c r="U656" t="s">
        <v>9536</v>
      </c>
      <c r="V656" t="s">
        <v>9537</v>
      </c>
      <c r="W656" t="s">
        <v>9538</v>
      </c>
      <c r="X656" t="s">
        <v>4793</v>
      </c>
      <c r="Y656" t="s">
        <v>9539</v>
      </c>
      <c r="Z656" t="s">
        <v>9540</v>
      </c>
      <c r="AA656" t="s">
        <v>74</v>
      </c>
      <c r="AB656" t="s">
        <v>74</v>
      </c>
      <c r="AC656" t="s">
        <v>74</v>
      </c>
      <c r="AD656" t="s">
        <v>74</v>
      </c>
      <c r="AE656" t="s">
        <v>74</v>
      </c>
      <c r="AF656" t="s">
        <v>74</v>
      </c>
      <c r="AG656">
        <v>179</v>
      </c>
      <c r="AH656">
        <v>13</v>
      </c>
      <c r="AI656">
        <v>13</v>
      </c>
      <c r="AJ656">
        <v>0</v>
      </c>
      <c r="AK656">
        <v>11</v>
      </c>
      <c r="AL656" t="s">
        <v>4812</v>
      </c>
      <c r="AM656" t="s">
        <v>4813</v>
      </c>
      <c r="AN656" t="s">
        <v>9541</v>
      </c>
      <c r="AO656" t="s">
        <v>9542</v>
      </c>
      <c r="AP656" t="s">
        <v>74</v>
      </c>
      <c r="AQ656" t="s">
        <v>74</v>
      </c>
      <c r="AR656" t="s">
        <v>9543</v>
      </c>
      <c r="AS656" t="s">
        <v>9544</v>
      </c>
      <c r="AT656" t="s">
        <v>8727</v>
      </c>
      <c r="AU656">
        <v>2004</v>
      </c>
      <c r="AV656">
        <v>35</v>
      </c>
      <c r="AW656">
        <v>3</v>
      </c>
      <c r="AX656" t="s">
        <v>74</v>
      </c>
      <c r="AY656" t="s">
        <v>74</v>
      </c>
      <c r="AZ656" t="s">
        <v>74</v>
      </c>
      <c r="BA656" t="s">
        <v>74</v>
      </c>
      <c r="BB656">
        <v>221</v>
      </c>
      <c r="BC656">
        <v>266</v>
      </c>
      <c r="BD656" t="s">
        <v>74</v>
      </c>
      <c r="BE656" t="s">
        <v>9545</v>
      </c>
      <c r="BF656" t="str">
        <f>HYPERLINK("http://dx.doi.org/10.1080/00908320490467323","http://dx.doi.org/10.1080/00908320490467323")</f>
        <v>http://dx.doi.org/10.1080/00908320490467323</v>
      </c>
      <c r="BG656" t="s">
        <v>74</v>
      </c>
      <c r="BH656" t="s">
        <v>74</v>
      </c>
      <c r="BI656">
        <v>46</v>
      </c>
      <c r="BJ656" t="s">
        <v>4256</v>
      </c>
      <c r="BK656" t="s">
        <v>3432</v>
      </c>
      <c r="BL656" t="s">
        <v>4257</v>
      </c>
      <c r="BM656" t="s">
        <v>9546</v>
      </c>
      <c r="BN656" t="s">
        <v>74</v>
      </c>
      <c r="BO656" t="s">
        <v>9547</v>
      </c>
      <c r="BP656" t="s">
        <v>74</v>
      </c>
      <c r="BQ656" t="s">
        <v>74</v>
      </c>
      <c r="BR656" t="s">
        <v>98</v>
      </c>
      <c r="BS656" t="s">
        <v>9548</v>
      </c>
      <c r="BT656" t="str">
        <f>HYPERLINK("https%3A%2F%2Fwww.webofscience.com%2Fwos%2Fwoscc%2Ffull-record%2FWOS:000222628300002","View Full Record in Web of Science")</f>
        <v>View Full Record in Web of Science</v>
      </c>
    </row>
    <row r="657" spans="1:72" x14ac:dyDescent="0.15">
      <c r="A657" t="s">
        <v>122</v>
      </c>
      <c r="B657" t="s">
        <v>9549</v>
      </c>
      <c r="C657" t="s">
        <v>74</v>
      </c>
      <c r="D657" t="s">
        <v>74</v>
      </c>
      <c r="E657" t="s">
        <v>74</v>
      </c>
      <c r="F657" t="s">
        <v>9549</v>
      </c>
      <c r="G657" t="s">
        <v>74</v>
      </c>
      <c r="H657" t="s">
        <v>74</v>
      </c>
      <c r="I657" t="s">
        <v>9550</v>
      </c>
      <c r="J657" t="s">
        <v>3607</v>
      </c>
      <c r="K657" t="s">
        <v>74</v>
      </c>
      <c r="L657" t="s">
        <v>74</v>
      </c>
      <c r="M657" t="s">
        <v>79</v>
      </c>
      <c r="N657" t="s">
        <v>126</v>
      </c>
      <c r="O657" t="s">
        <v>74</v>
      </c>
      <c r="P657" t="s">
        <v>74</v>
      </c>
      <c r="Q657" t="s">
        <v>74</v>
      </c>
      <c r="R657" t="s">
        <v>74</v>
      </c>
      <c r="S657" t="s">
        <v>74</v>
      </c>
      <c r="T657" t="s">
        <v>74</v>
      </c>
      <c r="U657" t="s">
        <v>74</v>
      </c>
      <c r="V657" t="s">
        <v>9551</v>
      </c>
      <c r="W657" t="s">
        <v>9552</v>
      </c>
      <c r="X657" t="s">
        <v>8748</v>
      </c>
      <c r="Y657" t="s">
        <v>9553</v>
      </c>
      <c r="Z657" t="s">
        <v>74</v>
      </c>
      <c r="AA657" t="s">
        <v>74</v>
      </c>
      <c r="AB657" t="s">
        <v>74</v>
      </c>
      <c r="AC657" t="s">
        <v>74</v>
      </c>
      <c r="AD657" t="s">
        <v>74</v>
      </c>
      <c r="AE657" t="s">
        <v>74</v>
      </c>
      <c r="AF657" t="s">
        <v>74</v>
      </c>
      <c r="AG657">
        <v>9</v>
      </c>
      <c r="AH657">
        <v>5</v>
      </c>
      <c r="AI657">
        <v>5</v>
      </c>
      <c r="AJ657">
        <v>0</v>
      </c>
      <c r="AK657">
        <v>1</v>
      </c>
      <c r="AL657" t="s">
        <v>1229</v>
      </c>
      <c r="AM657" t="s">
        <v>613</v>
      </c>
      <c r="AN657" t="s">
        <v>1230</v>
      </c>
      <c r="AO657" t="s">
        <v>3617</v>
      </c>
      <c r="AP657" t="s">
        <v>9554</v>
      </c>
      <c r="AQ657" t="s">
        <v>74</v>
      </c>
      <c r="AR657" t="s">
        <v>3618</v>
      </c>
      <c r="AS657" t="s">
        <v>3619</v>
      </c>
      <c r="AT657" t="s">
        <v>8757</v>
      </c>
      <c r="AU657">
        <v>2004</v>
      </c>
      <c r="AV657">
        <v>44</v>
      </c>
      <c r="AW657">
        <v>4</v>
      </c>
      <c r="AX657" t="s">
        <v>74</v>
      </c>
      <c r="AY657" t="s">
        <v>74</v>
      </c>
      <c r="AZ657" t="s">
        <v>74</v>
      </c>
      <c r="BA657" t="s">
        <v>74</v>
      </c>
      <c r="BB657">
        <v>451</v>
      </c>
      <c r="BC657">
        <v>460</v>
      </c>
      <c r="BD657" t="s">
        <v>74</v>
      </c>
      <c r="BE657" t="s">
        <v>74</v>
      </c>
      <c r="BF657" t="s">
        <v>74</v>
      </c>
      <c r="BG657" t="s">
        <v>74</v>
      </c>
      <c r="BH657" t="s">
        <v>74</v>
      </c>
      <c r="BI657">
        <v>10</v>
      </c>
      <c r="BJ657" t="s">
        <v>660</v>
      </c>
      <c r="BK657" t="s">
        <v>139</v>
      </c>
      <c r="BL657" t="s">
        <v>660</v>
      </c>
      <c r="BM657" t="s">
        <v>9555</v>
      </c>
      <c r="BN657" t="s">
        <v>74</v>
      </c>
      <c r="BO657" t="s">
        <v>74</v>
      </c>
      <c r="BP657" t="s">
        <v>74</v>
      </c>
      <c r="BQ657" t="s">
        <v>74</v>
      </c>
      <c r="BR657" t="s">
        <v>98</v>
      </c>
      <c r="BS657" t="s">
        <v>9556</v>
      </c>
      <c r="BT657" t="str">
        <f>HYPERLINK("https%3A%2F%2Fwww.webofscience.com%2Fwos%2Fwoscc%2Ffull-record%2FWOS:000223599600001","View Full Record in Web of Science")</f>
        <v>View Full Record in Web of Science</v>
      </c>
    </row>
    <row r="658" spans="1:72" x14ac:dyDescent="0.15">
      <c r="A658" t="s">
        <v>122</v>
      </c>
      <c r="B658" t="s">
        <v>9557</v>
      </c>
      <c r="C658" t="s">
        <v>74</v>
      </c>
      <c r="D658" t="s">
        <v>74</v>
      </c>
      <c r="E658" t="s">
        <v>74</v>
      </c>
      <c r="F658" t="s">
        <v>9557</v>
      </c>
      <c r="G658" t="s">
        <v>74</v>
      </c>
      <c r="H658" t="s">
        <v>74</v>
      </c>
      <c r="I658" t="s">
        <v>9558</v>
      </c>
      <c r="J658" t="s">
        <v>6587</v>
      </c>
      <c r="K658" t="s">
        <v>74</v>
      </c>
      <c r="L658" t="s">
        <v>74</v>
      </c>
      <c r="M658" t="s">
        <v>79</v>
      </c>
      <c r="N658" t="s">
        <v>126</v>
      </c>
      <c r="O658" t="s">
        <v>74</v>
      </c>
      <c r="P658" t="s">
        <v>74</v>
      </c>
      <c r="Q658" t="s">
        <v>74</v>
      </c>
      <c r="R658" t="s">
        <v>74</v>
      </c>
      <c r="S658" t="s">
        <v>74</v>
      </c>
      <c r="T658" t="s">
        <v>74</v>
      </c>
      <c r="U658" t="s">
        <v>9559</v>
      </c>
      <c r="V658" t="s">
        <v>9560</v>
      </c>
      <c r="W658" t="s">
        <v>9561</v>
      </c>
      <c r="X658" t="s">
        <v>748</v>
      </c>
      <c r="Y658" t="s">
        <v>9562</v>
      </c>
      <c r="Z658" t="s">
        <v>4539</v>
      </c>
      <c r="AA658" t="s">
        <v>74</v>
      </c>
      <c r="AB658" t="s">
        <v>74</v>
      </c>
      <c r="AC658" t="s">
        <v>74</v>
      </c>
      <c r="AD658" t="s">
        <v>74</v>
      </c>
      <c r="AE658" t="s">
        <v>74</v>
      </c>
      <c r="AF658" t="s">
        <v>74</v>
      </c>
      <c r="AG658">
        <v>69</v>
      </c>
      <c r="AH658">
        <v>73</v>
      </c>
      <c r="AI658">
        <v>80</v>
      </c>
      <c r="AJ658">
        <v>1</v>
      </c>
      <c r="AK658">
        <v>33</v>
      </c>
      <c r="AL658" t="s">
        <v>1418</v>
      </c>
      <c r="AM658" t="s">
        <v>1419</v>
      </c>
      <c r="AN658" t="s">
        <v>1420</v>
      </c>
      <c r="AO658" t="s">
        <v>6596</v>
      </c>
      <c r="AP658" t="s">
        <v>6597</v>
      </c>
      <c r="AQ658" t="s">
        <v>74</v>
      </c>
      <c r="AR658" t="s">
        <v>6587</v>
      </c>
      <c r="AS658" t="s">
        <v>6598</v>
      </c>
      <c r="AT658" t="s">
        <v>8496</v>
      </c>
      <c r="AU658">
        <v>2004</v>
      </c>
      <c r="AV658">
        <v>106</v>
      </c>
      <c r="AW658">
        <v>1</v>
      </c>
      <c r="AX658" t="s">
        <v>74</v>
      </c>
      <c r="AY658" t="s">
        <v>74</v>
      </c>
      <c r="AZ658" t="s">
        <v>74</v>
      </c>
      <c r="BA658" t="s">
        <v>74</v>
      </c>
      <c r="BB658">
        <v>167</v>
      </c>
      <c r="BC658">
        <v>175</v>
      </c>
      <c r="BD658" t="s">
        <v>74</v>
      </c>
      <c r="BE658" t="s">
        <v>9563</v>
      </c>
      <c r="BF658" t="str">
        <f>HYPERLINK("http://dx.doi.org/10.1111/j.0030-1299.2004.12934.x","http://dx.doi.org/10.1111/j.0030-1299.2004.12934.x")</f>
        <v>http://dx.doi.org/10.1111/j.0030-1299.2004.12934.x</v>
      </c>
      <c r="BG658" t="s">
        <v>74</v>
      </c>
      <c r="BH658" t="s">
        <v>74</v>
      </c>
      <c r="BI658">
        <v>9</v>
      </c>
      <c r="BJ658" t="s">
        <v>3165</v>
      </c>
      <c r="BK658" t="s">
        <v>139</v>
      </c>
      <c r="BL658" t="s">
        <v>1305</v>
      </c>
      <c r="BM658" t="s">
        <v>9564</v>
      </c>
      <c r="BN658" t="s">
        <v>74</v>
      </c>
      <c r="BO658" t="s">
        <v>74</v>
      </c>
      <c r="BP658" t="s">
        <v>74</v>
      </c>
      <c r="BQ658" t="s">
        <v>74</v>
      </c>
      <c r="BR658" t="s">
        <v>98</v>
      </c>
      <c r="BS658" t="s">
        <v>9565</v>
      </c>
      <c r="BT658" t="str">
        <f>HYPERLINK("https%3A%2F%2Fwww.webofscience.com%2Fwos%2Fwoscc%2Ffull-record%2FWOS:000221438300018","View Full Record in Web of Science")</f>
        <v>View Full Record in Web of Science</v>
      </c>
    </row>
    <row r="659" spans="1:72" x14ac:dyDescent="0.15">
      <c r="A659" t="s">
        <v>122</v>
      </c>
      <c r="B659" t="s">
        <v>9566</v>
      </c>
      <c r="C659" t="s">
        <v>74</v>
      </c>
      <c r="D659" t="s">
        <v>74</v>
      </c>
      <c r="E659" t="s">
        <v>74</v>
      </c>
      <c r="F659" t="s">
        <v>9566</v>
      </c>
      <c r="G659" t="s">
        <v>74</v>
      </c>
      <c r="H659" t="s">
        <v>74</v>
      </c>
      <c r="I659" t="s">
        <v>9567</v>
      </c>
      <c r="J659" t="s">
        <v>9568</v>
      </c>
      <c r="K659" t="s">
        <v>74</v>
      </c>
      <c r="L659" t="s">
        <v>74</v>
      </c>
      <c r="M659" t="s">
        <v>79</v>
      </c>
      <c r="N659" t="s">
        <v>126</v>
      </c>
      <c r="O659" t="s">
        <v>74</v>
      </c>
      <c r="P659" t="s">
        <v>74</v>
      </c>
      <c r="Q659" t="s">
        <v>74</v>
      </c>
      <c r="R659" t="s">
        <v>74</v>
      </c>
      <c r="S659" t="s">
        <v>74</v>
      </c>
      <c r="T659" t="s">
        <v>9569</v>
      </c>
      <c r="U659" t="s">
        <v>9570</v>
      </c>
      <c r="V659" t="s">
        <v>9571</v>
      </c>
      <c r="W659" t="s">
        <v>9572</v>
      </c>
      <c r="X659" t="s">
        <v>9573</v>
      </c>
      <c r="Y659" t="s">
        <v>9574</v>
      </c>
      <c r="Z659" t="s">
        <v>9575</v>
      </c>
      <c r="AA659" t="s">
        <v>74</v>
      </c>
      <c r="AB659" t="s">
        <v>74</v>
      </c>
      <c r="AC659" t="s">
        <v>74</v>
      </c>
      <c r="AD659" t="s">
        <v>74</v>
      </c>
      <c r="AE659" t="s">
        <v>74</v>
      </c>
      <c r="AF659" t="s">
        <v>74</v>
      </c>
      <c r="AG659">
        <v>63</v>
      </c>
      <c r="AH659">
        <v>19</v>
      </c>
      <c r="AI659">
        <v>20</v>
      </c>
      <c r="AJ659">
        <v>0</v>
      </c>
      <c r="AK659">
        <v>3</v>
      </c>
      <c r="AL659" t="s">
        <v>1745</v>
      </c>
      <c r="AM659" t="s">
        <v>4736</v>
      </c>
      <c r="AN659" t="s">
        <v>5009</v>
      </c>
      <c r="AO659" t="s">
        <v>9576</v>
      </c>
      <c r="AP659" t="s">
        <v>74</v>
      </c>
      <c r="AQ659" t="s">
        <v>74</v>
      </c>
      <c r="AR659" t="s">
        <v>9568</v>
      </c>
      <c r="AS659" t="s">
        <v>4627</v>
      </c>
      <c r="AT659" t="s">
        <v>8496</v>
      </c>
      <c r="AU659">
        <v>2004</v>
      </c>
      <c r="AV659">
        <v>47</v>
      </c>
      <c r="AW659" t="s">
        <v>74</v>
      </c>
      <c r="AX659">
        <v>4</v>
      </c>
      <c r="AY659" t="s">
        <v>74</v>
      </c>
      <c r="AZ659" t="s">
        <v>74</v>
      </c>
      <c r="BA659" t="s">
        <v>74</v>
      </c>
      <c r="BB659">
        <v>983</v>
      </c>
      <c r="BC659">
        <v>998</v>
      </c>
      <c r="BD659" t="s">
        <v>74</v>
      </c>
      <c r="BE659" t="s">
        <v>9577</v>
      </c>
      <c r="BF659" t="str">
        <f>HYPERLINK("http://dx.doi.org/10.1111/j.0031-0239.2004.00395.x","http://dx.doi.org/10.1111/j.0031-0239.2004.00395.x")</f>
        <v>http://dx.doi.org/10.1111/j.0031-0239.2004.00395.x</v>
      </c>
      <c r="BG659" t="s">
        <v>74</v>
      </c>
      <c r="BH659" t="s">
        <v>74</v>
      </c>
      <c r="BI659">
        <v>16</v>
      </c>
      <c r="BJ659" t="s">
        <v>4627</v>
      </c>
      <c r="BK659" t="s">
        <v>139</v>
      </c>
      <c r="BL659" t="s">
        <v>4627</v>
      </c>
      <c r="BM659" t="s">
        <v>9578</v>
      </c>
      <c r="BN659" t="s">
        <v>74</v>
      </c>
      <c r="BO659" t="s">
        <v>74</v>
      </c>
      <c r="BP659" t="s">
        <v>74</v>
      </c>
      <c r="BQ659" t="s">
        <v>74</v>
      </c>
      <c r="BR659" t="s">
        <v>98</v>
      </c>
      <c r="BS659" t="s">
        <v>9579</v>
      </c>
      <c r="BT659" t="str">
        <f>HYPERLINK("https%3A%2F%2Fwww.webofscience.com%2Fwos%2Fwoscc%2Ffull-record%2FWOS:000222682400009","View Full Record in Web of Science")</f>
        <v>View Full Record in Web of Science</v>
      </c>
    </row>
    <row r="660" spans="1:72" x14ac:dyDescent="0.15">
      <c r="A660" t="s">
        <v>122</v>
      </c>
      <c r="B660" t="s">
        <v>9580</v>
      </c>
      <c r="C660" t="s">
        <v>74</v>
      </c>
      <c r="D660" t="s">
        <v>74</v>
      </c>
      <c r="E660" t="s">
        <v>74</v>
      </c>
      <c r="F660" t="s">
        <v>9580</v>
      </c>
      <c r="G660" t="s">
        <v>74</v>
      </c>
      <c r="H660" t="s">
        <v>74</v>
      </c>
      <c r="I660" t="s">
        <v>9581</v>
      </c>
      <c r="J660" t="s">
        <v>311</v>
      </c>
      <c r="K660" t="s">
        <v>74</v>
      </c>
      <c r="L660" t="s">
        <v>74</v>
      </c>
      <c r="M660" t="s">
        <v>79</v>
      </c>
      <c r="N660" t="s">
        <v>126</v>
      </c>
      <c r="O660" t="s">
        <v>74</v>
      </c>
      <c r="P660" t="s">
        <v>74</v>
      </c>
      <c r="Q660" t="s">
        <v>74</v>
      </c>
      <c r="R660" t="s">
        <v>74</v>
      </c>
      <c r="S660" t="s">
        <v>74</v>
      </c>
      <c r="T660" t="s">
        <v>9582</v>
      </c>
      <c r="U660" t="s">
        <v>9583</v>
      </c>
      <c r="V660" t="s">
        <v>9584</v>
      </c>
      <c r="W660" t="s">
        <v>3124</v>
      </c>
      <c r="X660" t="s">
        <v>3125</v>
      </c>
      <c r="Y660" t="s">
        <v>3984</v>
      </c>
      <c r="Z660" t="s">
        <v>9585</v>
      </c>
      <c r="AA660" t="s">
        <v>9586</v>
      </c>
      <c r="AB660" t="s">
        <v>9587</v>
      </c>
      <c r="AC660" t="s">
        <v>74</v>
      </c>
      <c r="AD660" t="s">
        <v>74</v>
      </c>
      <c r="AE660" t="s">
        <v>74</v>
      </c>
      <c r="AF660" t="s">
        <v>74</v>
      </c>
      <c r="AG660">
        <v>55</v>
      </c>
      <c r="AH660">
        <v>112</v>
      </c>
      <c r="AI660">
        <v>131</v>
      </c>
      <c r="AJ660">
        <v>1</v>
      </c>
      <c r="AK660">
        <v>24</v>
      </c>
      <c r="AL660" t="s">
        <v>239</v>
      </c>
      <c r="AM660" t="s">
        <v>240</v>
      </c>
      <c r="AN660" t="s">
        <v>241</v>
      </c>
      <c r="AO660" t="s">
        <v>321</v>
      </c>
      <c r="AP660" t="s">
        <v>439</v>
      </c>
      <c r="AQ660" t="s">
        <v>74</v>
      </c>
      <c r="AR660" t="s">
        <v>311</v>
      </c>
      <c r="AS660" t="s">
        <v>322</v>
      </c>
      <c r="AT660" t="s">
        <v>8508</v>
      </c>
      <c r="AU660">
        <v>2004</v>
      </c>
      <c r="AV660">
        <v>19</v>
      </c>
      <c r="AW660">
        <v>3</v>
      </c>
      <c r="AX660" t="s">
        <v>74</v>
      </c>
      <c r="AY660" t="s">
        <v>74</v>
      </c>
      <c r="AZ660" t="s">
        <v>74</v>
      </c>
      <c r="BA660" t="s">
        <v>74</v>
      </c>
      <c r="BB660" t="s">
        <v>74</v>
      </c>
      <c r="BC660" t="s">
        <v>74</v>
      </c>
      <c r="BD660" t="s">
        <v>9588</v>
      </c>
      <c r="BE660" t="s">
        <v>9589</v>
      </c>
      <c r="BF660" t="str">
        <f>HYPERLINK("http://dx.doi.org/10.1029/2003PA000996","http://dx.doi.org/10.1029/2003PA000996")</f>
        <v>http://dx.doi.org/10.1029/2003PA000996</v>
      </c>
      <c r="BG660" t="s">
        <v>74</v>
      </c>
      <c r="BH660" t="s">
        <v>74</v>
      </c>
      <c r="BI660">
        <v>13</v>
      </c>
      <c r="BJ660" t="s">
        <v>326</v>
      </c>
      <c r="BK660" t="s">
        <v>139</v>
      </c>
      <c r="BL660" t="s">
        <v>327</v>
      </c>
      <c r="BM660" t="s">
        <v>9590</v>
      </c>
      <c r="BN660" t="s">
        <v>74</v>
      </c>
      <c r="BO660" t="s">
        <v>74</v>
      </c>
      <c r="BP660" t="s">
        <v>74</v>
      </c>
      <c r="BQ660" t="s">
        <v>74</v>
      </c>
      <c r="BR660" t="s">
        <v>98</v>
      </c>
      <c r="BS660" t="s">
        <v>9591</v>
      </c>
      <c r="BT660" t="str">
        <f>HYPERLINK("https%3A%2F%2Fwww.webofscience.com%2Fwos%2Fwoscc%2Ffull-record%2FWOS:000222793300001","View Full Record in Web of Science")</f>
        <v>View Full Record in Web of Science</v>
      </c>
    </row>
    <row r="661" spans="1:72" x14ac:dyDescent="0.15">
      <c r="A661" t="s">
        <v>122</v>
      </c>
      <c r="B661" t="s">
        <v>9592</v>
      </c>
      <c r="C661" t="s">
        <v>74</v>
      </c>
      <c r="D661" t="s">
        <v>74</v>
      </c>
      <c r="E661" t="s">
        <v>74</v>
      </c>
      <c r="F661" t="s">
        <v>9592</v>
      </c>
      <c r="G661" t="s">
        <v>74</v>
      </c>
      <c r="H661" t="s">
        <v>74</v>
      </c>
      <c r="I661" t="s">
        <v>9593</v>
      </c>
      <c r="J661" t="s">
        <v>9594</v>
      </c>
      <c r="K661" t="s">
        <v>74</v>
      </c>
      <c r="L661" t="s">
        <v>74</v>
      </c>
      <c r="M661" t="s">
        <v>79</v>
      </c>
      <c r="N661" t="s">
        <v>126</v>
      </c>
      <c r="O661" t="s">
        <v>74</v>
      </c>
      <c r="P661" t="s">
        <v>74</v>
      </c>
      <c r="Q661" t="s">
        <v>74</v>
      </c>
      <c r="R661" t="s">
        <v>74</v>
      </c>
      <c r="S661" t="s">
        <v>74</v>
      </c>
      <c r="T661" t="s">
        <v>74</v>
      </c>
      <c r="U661" t="s">
        <v>9595</v>
      </c>
      <c r="V661" t="s">
        <v>9596</v>
      </c>
      <c r="W661" t="s">
        <v>9597</v>
      </c>
      <c r="X661" t="s">
        <v>9598</v>
      </c>
      <c r="Y661" t="s">
        <v>9599</v>
      </c>
      <c r="Z661" t="s">
        <v>74</v>
      </c>
      <c r="AA661" t="s">
        <v>74</v>
      </c>
      <c r="AB661" t="s">
        <v>74</v>
      </c>
      <c r="AC661" t="s">
        <v>74</v>
      </c>
      <c r="AD661" t="s">
        <v>74</v>
      </c>
      <c r="AE661" t="s">
        <v>74</v>
      </c>
      <c r="AF661" t="s">
        <v>74</v>
      </c>
      <c r="AG661">
        <v>27</v>
      </c>
      <c r="AH661">
        <v>5</v>
      </c>
      <c r="AI661">
        <v>7</v>
      </c>
      <c r="AJ661">
        <v>2</v>
      </c>
      <c r="AK661">
        <v>2</v>
      </c>
      <c r="AL661" t="s">
        <v>1229</v>
      </c>
      <c r="AM661" t="s">
        <v>613</v>
      </c>
      <c r="AN661" t="s">
        <v>1230</v>
      </c>
      <c r="AO661" t="s">
        <v>9600</v>
      </c>
      <c r="AP661" t="s">
        <v>9601</v>
      </c>
      <c r="AQ661" t="s">
        <v>74</v>
      </c>
      <c r="AR661" t="s">
        <v>9602</v>
      </c>
      <c r="AS661" t="s">
        <v>9603</v>
      </c>
      <c r="AT661" t="s">
        <v>8496</v>
      </c>
      <c r="AU661">
        <v>2004</v>
      </c>
      <c r="AV661">
        <v>67</v>
      </c>
      <c r="AW661">
        <v>7</v>
      </c>
      <c r="AX661" t="s">
        <v>74</v>
      </c>
      <c r="AY661" t="s">
        <v>74</v>
      </c>
      <c r="AZ661" t="s">
        <v>74</v>
      </c>
      <c r="BA661" t="s">
        <v>74</v>
      </c>
      <c r="BB661">
        <v>1385</v>
      </c>
      <c r="BC661">
        <v>1389</v>
      </c>
      <c r="BD661" t="s">
        <v>74</v>
      </c>
      <c r="BE661" t="s">
        <v>9604</v>
      </c>
      <c r="BF661" t="str">
        <f>HYPERLINK("http://dx.doi.org/10.1134/1.1777294","http://dx.doi.org/10.1134/1.1777294")</f>
        <v>http://dx.doi.org/10.1134/1.1777294</v>
      </c>
      <c r="BG661" t="s">
        <v>74</v>
      </c>
      <c r="BH661" t="s">
        <v>74</v>
      </c>
      <c r="BI661">
        <v>5</v>
      </c>
      <c r="BJ661" t="s">
        <v>9605</v>
      </c>
      <c r="BK661" t="s">
        <v>139</v>
      </c>
      <c r="BL661" t="s">
        <v>1471</v>
      </c>
      <c r="BM661" t="s">
        <v>9606</v>
      </c>
      <c r="BN661" t="s">
        <v>74</v>
      </c>
      <c r="BO661" t="s">
        <v>74</v>
      </c>
      <c r="BP661" t="s">
        <v>74</v>
      </c>
      <c r="BQ661" t="s">
        <v>74</v>
      </c>
      <c r="BR661" t="s">
        <v>98</v>
      </c>
      <c r="BS661" t="s">
        <v>9607</v>
      </c>
      <c r="BT661" t="str">
        <f>HYPERLINK("https%3A%2F%2Fwww.webofscience.com%2Fwos%2Fwoscc%2Ffull-record%2FWOS:000223357700017","View Full Record in Web of Science")</f>
        <v>View Full Record in Web of Science</v>
      </c>
    </row>
    <row r="662" spans="1:72" x14ac:dyDescent="0.15">
      <c r="A662" t="s">
        <v>122</v>
      </c>
      <c r="B662" t="s">
        <v>9608</v>
      </c>
      <c r="C662" t="s">
        <v>74</v>
      </c>
      <c r="D662" t="s">
        <v>74</v>
      </c>
      <c r="E662" t="s">
        <v>74</v>
      </c>
      <c r="F662" t="s">
        <v>9608</v>
      </c>
      <c r="G662" t="s">
        <v>74</v>
      </c>
      <c r="H662" t="s">
        <v>74</v>
      </c>
      <c r="I662" t="s">
        <v>9609</v>
      </c>
      <c r="J662" t="s">
        <v>9610</v>
      </c>
      <c r="K662" t="s">
        <v>74</v>
      </c>
      <c r="L662" t="s">
        <v>74</v>
      </c>
      <c r="M662" t="s">
        <v>79</v>
      </c>
      <c r="N662" t="s">
        <v>126</v>
      </c>
      <c r="O662" t="s">
        <v>74</v>
      </c>
      <c r="P662" t="s">
        <v>74</v>
      </c>
      <c r="Q662" t="s">
        <v>74</v>
      </c>
      <c r="R662" t="s">
        <v>74</v>
      </c>
      <c r="S662" t="s">
        <v>74</v>
      </c>
      <c r="T662" t="s">
        <v>74</v>
      </c>
      <c r="U662" t="s">
        <v>9611</v>
      </c>
      <c r="V662" t="s">
        <v>9612</v>
      </c>
      <c r="W662" t="s">
        <v>6575</v>
      </c>
      <c r="X662" t="s">
        <v>748</v>
      </c>
      <c r="Y662" t="s">
        <v>9613</v>
      </c>
      <c r="Z662" t="s">
        <v>9614</v>
      </c>
      <c r="AA662" t="s">
        <v>74</v>
      </c>
      <c r="AB662" t="s">
        <v>6578</v>
      </c>
      <c r="AC662" t="s">
        <v>74</v>
      </c>
      <c r="AD662" t="s">
        <v>74</v>
      </c>
      <c r="AE662" t="s">
        <v>74</v>
      </c>
      <c r="AF662" t="s">
        <v>74</v>
      </c>
      <c r="AG662">
        <v>72</v>
      </c>
      <c r="AH662">
        <v>25</v>
      </c>
      <c r="AI662">
        <v>29</v>
      </c>
      <c r="AJ662">
        <v>0</v>
      </c>
      <c r="AK662">
        <v>10</v>
      </c>
      <c r="AL662" t="s">
        <v>5447</v>
      </c>
      <c r="AM662" t="s">
        <v>5448</v>
      </c>
      <c r="AN662" t="s">
        <v>5449</v>
      </c>
      <c r="AO662" t="s">
        <v>9615</v>
      </c>
      <c r="AP662" t="s">
        <v>74</v>
      </c>
      <c r="AQ662" t="s">
        <v>74</v>
      </c>
      <c r="AR662" t="s">
        <v>9616</v>
      </c>
      <c r="AS662" t="s">
        <v>9617</v>
      </c>
      <c r="AT662" t="s">
        <v>8757</v>
      </c>
      <c r="AU662">
        <v>2004</v>
      </c>
      <c r="AV662">
        <v>77</v>
      </c>
      <c r="AW662">
        <v>4</v>
      </c>
      <c r="AX662" t="s">
        <v>74</v>
      </c>
      <c r="AY662" t="s">
        <v>74</v>
      </c>
      <c r="AZ662" t="s">
        <v>74</v>
      </c>
      <c r="BA662" t="s">
        <v>74</v>
      </c>
      <c r="BB662">
        <v>556</v>
      </c>
      <c r="BC662">
        <v>569</v>
      </c>
      <c r="BD662" t="s">
        <v>74</v>
      </c>
      <c r="BE662" t="s">
        <v>9618</v>
      </c>
      <c r="BF662" t="str">
        <f>HYPERLINK("http://dx.doi.org/10.1086/420949","http://dx.doi.org/10.1086/420949")</f>
        <v>http://dx.doi.org/10.1086/420949</v>
      </c>
      <c r="BG662" t="s">
        <v>74</v>
      </c>
      <c r="BH662" t="s">
        <v>74</v>
      </c>
      <c r="BI662">
        <v>14</v>
      </c>
      <c r="BJ662" t="s">
        <v>9619</v>
      </c>
      <c r="BK662" t="s">
        <v>139</v>
      </c>
      <c r="BL662" t="s">
        <v>9619</v>
      </c>
      <c r="BM662" t="s">
        <v>9620</v>
      </c>
      <c r="BN662">
        <v>15449227</v>
      </c>
      <c r="BO662" t="s">
        <v>74</v>
      </c>
      <c r="BP662" t="s">
        <v>74</v>
      </c>
      <c r="BQ662" t="s">
        <v>74</v>
      </c>
      <c r="BR662" t="s">
        <v>98</v>
      </c>
      <c r="BS662" t="s">
        <v>9621</v>
      </c>
      <c r="BT662" t="str">
        <f>HYPERLINK("https%3A%2F%2Fwww.webofscience.com%2Fwos%2Fwoscc%2Ffull-record%2FWOS:000224412700002","View Full Record in Web of Science")</f>
        <v>View Full Record in Web of Science</v>
      </c>
    </row>
    <row r="663" spans="1:72" x14ac:dyDescent="0.15">
      <c r="A663" t="s">
        <v>122</v>
      </c>
      <c r="B663" t="s">
        <v>9622</v>
      </c>
      <c r="C663" t="s">
        <v>74</v>
      </c>
      <c r="D663" t="s">
        <v>74</v>
      </c>
      <c r="E663" t="s">
        <v>74</v>
      </c>
      <c r="F663" t="s">
        <v>9622</v>
      </c>
      <c r="G663" t="s">
        <v>74</v>
      </c>
      <c r="H663" t="s">
        <v>74</v>
      </c>
      <c r="I663" t="s">
        <v>9623</v>
      </c>
      <c r="J663" t="s">
        <v>9610</v>
      </c>
      <c r="K663" t="s">
        <v>74</v>
      </c>
      <c r="L663" t="s">
        <v>74</v>
      </c>
      <c r="M663" t="s">
        <v>79</v>
      </c>
      <c r="N663" t="s">
        <v>126</v>
      </c>
      <c r="O663" t="s">
        <v>74</v>
      </c>
      <c r="P663" t="s">
        <v>74</v>
      </c>
      <c r="Q663" t="s">
        <v>74</v>
      </c>
      <c r="R663" t="s">
        <v>74</v>
      </c>
      <c r="S663" t="s">
        <v>74</v>
      </c>
      <c r="T663" t="s">
        <v>74</v>
      </c>
      <c r="U663" t="s">
        <v>9624</v>
      </c>
      <c r="V663" t="s">
        <v>9625</v>
      </c>
      <c r="W663" t="s">
        <v>9626</v>
      </c>
      <c r="X663" t="s">
        <v>9627</v>
      </c>
      <c r="Y663" t="s">
        <v>9628</v>
      </c>
      <c r="Z663" t="s">
        <v>9629</v>
      </c>
      <c r="AA663" t="s">
        <v>9630</v>
      </c>
      <c r="AB663" t="s">
        <v>9631</v>
      </c>
      <c r="AC663" t="s">
        <v>74</v>
      </c>
      <c r="AD663" t="s">
        <v>74</v>
      </c>
      <c r="AE663" t="s">
        <v>74</v>
      </c>
      <c r="AF663" t="s">
        <v>74</v>
      </c>
      <c r="AG663">
        <v>77</v>
      </c>
      <c r="AH663">
        <v>34</v>
      </c>
      <c r="AI663">
        <v>39</v>
      </c>
      <c r="AJ663">
        <v>0</v>
      </c>
      <c r="AK663">
        <v>22</v>
      </c>
      <c r="AL663" t="s">
        <v>5447</v>
      </c>
      <c r="AM663" t="s">
        <v>5448</v>
      </c>
      <c r="AN663" t="s">
        <v>5449</v>
      </c>
      <c r="AO663" t="s">
        <v>9615</v>
      </c>
      <c r="AP663" t="s">
        <v>74</v>
      </c>
      <c r="AQ663" t="s">
        <v>74</v>
      </c>
      <c r="AR663" t="s">
        <v>9616</v>
      </c>
      <c r="AS663" t="s">
        <v>9617</v>
      </c>
      <c r="AT663" t="s">
        <v>8757</v>
      </c>
      <c r="AU663">
        <v>2004</v>
      </c>
      <c r="AV663">
        <v>77</v>
      </c>
      <c r="AW663">
        <v>4</v>
      </c>
      <c r="AX663" t="s">
        <v>74</v>
      </c>
      <c r="AY663" t="s">
        <v>74</v>
      </c>
      <c r="AZ663" t="s">
        <v>74</v>
      </c>
      <c r="BA663" t="s">
        <v>74</v>
      </c>
      <c r="BB663">
        <v>669</v>
      </c>
      <c r="BC663">
        <v>681</v>
      </c>
      <c r="BD663" t="s">
        <v>74</v>
      </c>
      <c r="BE663" t="s">
        <v>9632</v>
      </c>
      <c r="BF663" t="str">
        <f>HYPERLINK("http://dx.doi.org/10.1086/421749","http://dx.doi.org/10.1086/421749")</f>
        <v>http://dx.doi.org/10.1086/421749</v>
      </c>
      <c r="BG663" t="s">
        <v>74</v>
      </c>
      <c r="BH663" t="s">
        <v>74</v>
      </c>
      <c r="BI663">
        <v>13</v>
      </c>
      <c r="BJ663" t="s">
        <v>9619</v>
      </c>
      <c r="BK663" t="s">
        <v>139</v>
      </c>
      <c r="BL663" t="s">
        <v>9619</v>
      </c>
      <c r="BM663" t="s">
        <v>9620</v>
      </c>
      <c r="BN663">
        <v>15449238</v>
      </c>
      <c r="BO663" t="s">
        <v>74</v>
      </c>
      <c r="BP663" t="s">
        <v>74</v>
      </c>
      <c r="BQ663" t="s">
        <v>74</v>
      </c>
      <c r="BR663" t="s">
        <v>98</v>
      </c>
      <c r="BS663" t="s">
        <v>9633</v>
      </c>
      <c r="BT663" t="str">
        <f>HYPERLINK("https%3A%2F%2Fwww.webofscience.com%2Fwos%2Fwoscc%2Ffull-record%2FWOS:000224412700013","View Full Record in Web of Science")</f>
        <v>View Full Record in Web of Science</v>
      </c>
    </row>
    <row r="664" spans="1:72" x14ac:dyDescent="0.15">
      <c r="A664" t="s">
        <v>122</v>
      </c>
      <c r="B664" t="s">
        <v>9634</v>
      </c>
      <c r="C664" t="s">
        <v>74</v>
      </c>
      <c r="D664" t="s">
        <v>74</v>
      </c>
      <c r="E664" t="s">
        <v>74</v>
      </c>
      <c r="F664" t="s">
        <v>9634</v>
      </c>
      <c r="G664" t="s">
        <v>74</v>
      </c>
      <c r="H664" t="s">
        <v>74</v>
      </c>
      <c r="I664" t="s">
        <v>9635</v>
      </c>
      <c r="J664" t="s">
        <v>9610</v>
      </c>
      <c r="K664" t="s">
        <v>74</v>
      </c>
      <c r="L664" t="s">
        <v>74</v>
      </c>
      <c r="M664" t="s">
        <v>79</v>
      </c>
      <c r="N664" t="s">
        <v>918</v>
      </c>
      <c r="O664" t="s">
        <v>74</v>
      </c>
      <c r="P664" t="s">
        <v>74</v>
      </c>
      <c r="Q664" t="s">
        <v>74</v>
      </c>
      <c r="R664" t="s">
        <v>74</v>
      </c>
      <c r="S664" t="s">
        <v>74</v>
      </c>
      <c r="T664" t="s">
        <v>74</v>
      </c>
      <c r="U664" t="s">
        <v>9636</v>
      </c>
      <c r="V664" t="s">
        <v>9637</v>
      </c>
      <c r="W664" t="s">
        <v>9638</v>
      </c>
      <c r="X664" t="s">
        <v>9639</v>
      </c>
      <c r="Y664" t="s">
        <v>9640</v>
      </c>
      <c r="Z664" t="s">
        <v>9641</v>
      </c>
      <c r="AA664" t="s">
        <v>74</v>
      </c>
      <c r="AB664" t="s">
        <v>9642</v>
      </c>
      <c r="AC664" t="s">
        <v>74</v>
      </c>
      <c r="AD664" t="s">
        <v>74</v>
      </c>
      <c r="AE664" t="s">
        <v>74</v>
      </c>
      <c r="AF664" t="s">
        <v>74</v>
      </c>
      <c r="AG664">
        <v>35</v>
      </c>
      <c r="AH664">
        <v>35</v>
      </c>
      <c r="AI664">
        <v>44</v>
      </c>
      <c r="AJ664">
        <v>1</v>
      </c>
      <c r="AK664">
        <v>21</v>
      </c>
      <c r="AL664" t="s">
        <v>5447</v>
      </c>
      <c r="AM664" t="s">
        <v>5448</v>
      </c>
      <c r="AN664" t="s">
        <v>5449</v>
      </c>
      <c r="AO664" t="s">
        <v>9615</v>
      </c>
      <c r="AP664" t="s">
        <v>9643</v>
      </c>
      <c r="AQ664" t="s">
        <v>74</v>
      </c>
      <c r="AR664" t="s">
        <v>9616</v>
      </c>
      <c r="AS664" t="s">
        <v>9617</v>
      </c>
      <c r="AT664" t="s">
        <v>8757</v>
      </c>
      <c r="AU664">
        <v>2004</v>
      </c>
      <c r="AV664">
        <v>77</v>
      </c>
      <c r="AW664">
        <v>4</v>
      </c>
      <c r="AX664" t="s">
        <v>74</v>
      </c>
      <c r="AY664" t="s">
        <v>74</v>
      </c>
      <c r="AZ664" t="s">
        <v>74</v>
      </c>
      <c r="BA664" t="s">
        <v>74</v>
      </c>
      <c r="BB664">
        <v>682</v>
      </c>
      <c r="BC664">
        <v>687</v>
      </c>
      <c r="BD664" t="s">
        <v>74</v>
      </c>
      <c r="BE664" t="s">
        <v>9644</v>
      </c>
      <c r="BF664" t="str">
        <f>HYPERLINK("http://dx.doi.org/10.1086/420945","http://dx.doi.org/10.1086/420945")</f>
        <v>http://dx.doi.org/10.1086/420945</v>
      </c>
      <c r="BG664" t="s">
        <v>74</v>
      </c>
      <c r="BH664" t="s">
        <v>74</v>
      </c>
      <c r="BI664">
        <v>6</v>
      </c>
      <c r="BJ664" t="s">
        <v>9619</v>
      </c>
      <c r="BK664" t="s">
        <v>139</v>
      </c>
      <c r="BL664" t="s">
        <v>9619</v>
      </c>
      <c r="BM664" t="s">
        <v>9620</v>
      </c>
      <c r="BN664">
        <v>15449239</v>
      </c>
      <c r="BO664" t="s">
        <v>74</v>
      </c>
      <c r="BP664" t="s">
        <v>74</v>
      </c>
      <c r="BQ664" t="s">
        <v>74</v>
      </c>
      <c r="BR664" t="s">
        <v>98</v>
      </c>
      <c r="BS664" t="s">
        <v>9645</v>
      </c>
      <c r="BT664" t="str">
        <f>HYPERLINK("https%3A%2F%2Fwww.webofscience.com%2Fwos%2Fwoscc%2Ffull-record%2FWOS:000224412700014","View Full Record in Web of Science")</f>
        <v>View Full Record in Web of Science</v>
      </c>
    </row>
    <row r="665" spans="1:72" x14ac:dyDescent="0.15">
      <c r="A665" t="s">
        <v>122</v>
      </c>
      <c r="B665" t="s">
        <v>9646</v>
      </c>
      <c r="C665" t="s">
        <v>74</v>
      </c>
      <c r="D665" t="s">
        <v>74</v>
      </c>
      <c r="E665" t="s">
        <v>74</v>
      </c>
      <c r="F665" t="s">
        <v>9646</v>
      </c>
      <c r="G665" t="s">
        <v>74</v>
      </c>
      <c r="H665" t="s">
        <v>74</v>
      </c>
      <c r="I665" t="s">
        <v>9647</v>
      </c>
      <c r="J665" t="s">
        <v>1912</v>
      </c>
      <c r="K665" t="s">
        <v>74</v>
      </c>
      <c r="L665" t="s">
        <v>74</v>
      </c>
      <c r="M665" t="s">
        <v>79</v>
      </c>
      <c r="N665" t="s">
        <v>126</v>
      </c>
      <c r="O665" t="s">
        <v>74</v>
      </c>
      <c r="P665" t="s">
        <v>74</v>
      </c>
      <c r="Q665" t="s">
        <v>74</v>
      </c>
      <c r="R665" t="s">
        <v>74</v>
      </c>
      <c r="S665" t="s">
        <v>74</v>
      </c>
      <c r="T665" t="s">
        <v>74</v>
      </c>
      <c r="U665" t="s">
        <v>9648</v>
      </c>
      <c r="V665" t="s">
        <v>9649</v>
      </c>
      <c r="W665" t="s">
        <v>9650</v>
      </c>
      <c r="X665" t="s">
        <v>9651</v>
      </c>
      <c r="Y665" t="s">
        <v>9652</v>
      </c>
      <c r="Z665" t="s">
        <v>9653</v>
      </c>
      <c r="AA665" t="s">
        <v>9654</v>
      </c>
      <c r="AB665" t="s">
        <v>9655</v>
      </c>
      <c r="AC665" t="s">
        <v>74</v>
      </c>
      <c r="AD665" t="s">
        <v>74</v>
      </c>
      <c r="AE665" t="s">
        <v>74</v>
      </c>
      <c r="AF665" t="s">
        <v>74</v>
      </c>
      <c r="AG665">
        <v>20</v>
      </c>
      <c r="AH665">
        <v>9</v>
      </c>
      <c r="AI665">
        <v>9</v>
      </c>
      <c r="AJ665">
        <v>0</v>
      </c>
      <c r="AK665">
        <v>2</v>
      </c>
      <c r="AL665" t="s">
        <v>1509</v>
      </c>
      <c r="AM665" t="s">
        <v>613</v>
      </c>
      <c r="AN665" t="s">
        <v>1948</v>
      </c>
      <c r="AO665" t="s">
        <v>1921</v>
      </c>
      <c r="AP665" t="s">
        <v>1937</v>
      </c>
      <c r="AQ665" t="s">
        <v>74</v>
      </c>
      <c r="AR665" t="s">
        <v>1922</v>
      </c>
      <c r="AS665" t="s">
        <v>1923</v>
      </c>
      <c r="AT665" t="s">
        <v>8496</v>
      </c>
      <c r="AU665">
        <v>2004</v>
      </c>
      <c r="AV665">
        <v>27</v>
      </c>
      <c r="AW665">
        <v>8</v>
      </c>
      <c r="AX665" t="s">
        <v>74</v>
      </c>
      <c r="AY665" t="s">
        <v>74</v>
      </c>
      <c r="AZ665" t="s">
        <v>74</v>
      </c>
      <c r="BA665" t="s">
        <v>74</v>
      </c>
      <c r="BB665">
        <v>458</v>
      </c>
      <c r="BC665">
        <v>465</v>
      </c>
      <c r="BD665" t="s">
        <v>74</v>
      </c>
      <c r="BE665" t="s">
        <v>9656</v>
      </c>
      <c r="BF665" t="str">
        <f>HYPERLINK("http://dx.doi.org/10.1007/s00300-004-0611-7","http://dx.doi.org/10.1007/s00300-004-0611-7")</f>
        <v>http://dx.doi.org/10.1007/s00300-004-0611-7</v>
      </c>
      <c r="BG665" t="s">
        <v>74</v>
      </c>
      <c r="BH665" t="s">
        <v>74</v>
      </c>
      <c r="BI665">
        <v>8</v>
      </c>
      <c r="BJ665" t="s">
        <v>1491</v>
      </c>
      <c r="BK665" t="s">
        <v>139</v>
      </c>
      <c r="BL665" t="s">
        <v>1337</v>
      </c>
      <c r="BM665" t="s">
        <v>9657</v>
      </c>
      <c r="BN665" t="s">
        <v>74</v>
      </c>
      <c r="BO665" t="s">
        <v>74</v>
      </c>
      <c r="BP665" t="s">
        <v>74</v>
      </c>
      <c r="BQ665" t="s">
        <v>74</v>
      </c>
      <c r="BR665" t="s">
        <v>98</v>
      </c>
      <c r="BS665" t="s">
        <v>9658</v>
      </c>
      <c r="BT665" t="str">
        <f>HYPERLINK("https%3A%2F%2Fwww.webofscience.com%2Fwos%2Fwoscc%2Ffull-record%2FWOS:000222239300002","View Full Record in Web of Science")</f>
        <v>View Full Record in Web of Science</v>
      </c>
    </row>
    <row r="666" spans="1:72" x14ac:dyDescent="0.15">
      <c r="A666" t="s">
        <v>122</v>
      </c>
      <c r="B666" t="s">
        <v>9659</v>
      </c>
      <c r="C666" t="s">
        <v>74</v>
      </c>
      <c r="D666" t="s">
        <v>74</v>
      </c>
      <c r="E666" t="s">
        <v>74</v>
      </c>
      <c r="F666" t="s">
        <v>9659</v>
      </c>
      <c r="G666" t="s">
        <v>74</v>
      </c>
      <c r="H666" t="s">
        <v>74</v>
      </c>
      <c r="I666" t="s">
        <v>9660</v>
      </c>
      <c r="J666" t="s">
        <v>1912</v>
      </c>
      <c r="K666" t="s">
        <v>74</v>
      </c>
      <c r="L666" t="s">
        <v>74</v>
      </c>
      <c r="M666" t="s">
        <v>79</v>
      </c>
      <c r="N666" t="s">
        <v>126</v>
      </c>
      <c r="O666" t="s">
        <v>74</v>
      </c>
      <c r="P666" t="s">
        <v>74</v>
      </c>
      <c r="Q666" t="s">
        <v>74</v>
      </c>
      <c r="R666" t="s">
        <v>74</v>
      </c>
      <c r="S666" t="s">
        <v>74</v>
      </c>
      <c r="T666" t="s">
        <v>74</v>
      </c>
      <c r="U666" t="s">
        <v>9661</v>
      </c>
      <c r="V666" t="s">
        <v>9662</v>
      </c>
      <c r="W666" t="s">
        <v>9663</v>
      </c>
      <c r="X666" t="s">
        <v>9664</v>
      </c>
      <c r="Y666" t="s">
        <v>9665</v>
      </c>
      <c r="Z666" t="s">
        <v>2797</v>
      </c>
      <c r="AA666" t="s">
        <v>9666</v>
      </c>
      <c r="AB666" t="s">
        <v>9667</v>
      </c>
      <c r="AC666" t="s">
        <v>74</v>
      </c>
      <c r="AD666" t="s">
        <v>74</v>
      </c>
      <c r="AE666" t="s">
        <v>74</v>
      </c>
      <c r="AF666" t="s">
        <v>74</v>
      </c>
      <c r="AG666">
        <v>54</v>
      </c>
      <c r="AH666">
        <v>37</v>
      </c>
      <c r="AI666">
        <v>37</v>
      </c>
      <c r="AJ666">
        <v>0</v>
      </c>
      <c r="AK666">
        <v>21</v>
      </c>
      <c r="AL666" t="s">
        <v>1509</v>
      </c>
      <c r="AM666" t="s">
        <v>613</v>
      </c>
      <c r="AN666" t="s">
        <v>1821</v>
      </c>
      <c r="AO666" t="s">
        <v>1921</v>
      </c>
      <c r="AP666" t="s">
        <v>1937</v>
      </c>
      <c r="AQ666" t="s">
        <v>74</v>
      </c>
      <c r="AR666" t="s">
        <v>1922</v>
      </c>
      <c r="AS666" t="s">
        <v>1923</v>
      </c>
      <c r="AT666" t="s">
        <v>8496</v>
      </c>
      <c r="AU666">
        <v>2004</v>
      </c>
      <c r="AV666">
        <v>27</v>
      </c>
      <c r="AW666">
        <v>8</v>
      </c>
      <c r="AX666" t="s">
        <v>74</v>
      </c>
      <c r="AY666" t="s">
        <v>74</v>
      </c>
      <c r="AZ666" t="s">
        <v>74</v>
      </c>
      <c r="BA666" t="s">
        <v>74</v>
      </c>
      <c r="BB666">
        <v>466</v>
      </c>
      <c r="BC666">
        <v>473</v>
      </c>
      <c r="BD666" t="s">
        <v>74</v>
      </c>
      <c r="BE666" t="s">
        <v>9668</v>
      </c>
      <c r="BF666" t="str">
        <f>HYPERLINK("http://dx.doi.org/10.1007/s00300-004-0614-4","http://dx.doi.org/10.1007/s00300-004-0614-4")</f>
        <v>http://dx.doi.org/10.1007/s00300-004-0614-4</v>
      </c>
      <c r="BG666" t="s">
        <v>74</v>
      </c>
      <c r="BH666" t="s">
        <v>74</v>
      </c>
      <c r="BI666">
        <v>8</v>
      </c>
      <c r="BJ666" t="s">
        <v>1491</v>
      </c>
      <c r="BK666" t="s">
        <v>139</v>
      </c>
      <c r="BL666" t="s">
        <v>1337</v>
      </c>
      <c r="BM666" t="s">
        <v>9657</v>
      </c>
      <c r="BN666" t="s">
        <v>74</v>
      </c>
      <c r="BO666" t="s">
        <v>74</v>
      </c>
      <c r="BP666" t="s">
        <v>74</v>
      </c>
      <c r="BQ666" t="s">
        <v>74</v>
      </c>
      <c r="BR666" t="s">
        <v>98</v>
      </c>
      <c r="BS666" t="s">
        <v>9669</v>
      </c>
      <c r="BT666" t="str">
        <f>HYPERLINK("https%3A%2F%2Fwww.webofscience.com%2Fwos%2Fwoscc%2Ffull-record%2FWOS:000222239300003","View Full Record in Web of Science")</f>
        <v>View Full Record in Web of Science</v>
      </c>
    </row>
    <row r="667" spans="1:72" x14ac:dyDescent="0.15">
      <c r="A667" t="s">
        <v>122</v>
      </c>
      <c r="B667" t="s">
        <v>9670</v>
      </c>
      <c r="C667" t="s">
        <v>74</v>
      </c>
      <c r="D667" t="s">
        <v>74</v>
      </c>
      <c r="E667" t="s">
        <v>74</v>
      </c>
      <c r="F667" t="s">
        <v>9670</v>
      </c>
      <c r="G667" t="s">
        <v>74</v>
      </c>
      <c r="H667" t="s">
        <v>74</v>
      </c>
      <c r="I667" t="s">
        <v>9671</v>
      </c>
      <c r="J667" t="s">
        <v>1912</v>
      </c>
      <c r="K667" t="s">
        <v>74</v>
      </c>
      <c r="L667" t="s">
        <v>74</v>
      </c>
      <c r="M667" t="s">
        <v>79</v>
      </c>
      <c r="N667" t="s">
        <v>126</v>
      </c>
      <c r="O667" t="s">
        <v>74</v>
      </c>
      <c r="P667" t="s">
        <v>74</v>
      </c>
      <c r="Q667" t="s">
        <v>74</v>
      </c>
      <c r="R667" t="s">
        <v>74</v>
      </c>
      <c r="S667" t="s">
        <v>74</v>
      </c>
      <c r="T667" t="s">
        <v>74</v>
      </c>
      <c r="U667" t="s">
        <v>9672</v>
      </c>
      <c r="V667" t="s">
        <v>9673</v>
      </c>
      <c r="W667" t="s">
        <v>9674</v>
      </c>
      <c r="X667" t="s">
        <v>9675</v>
      </c>
      <c r="Y667" t="s">
        <v>9676</v>
      </c>
      <c r="Z667" t="s">
        <v>4939</v>
      </c>
      <c r="AA667" t="s">
        <v>4940</v>
      </c>
      <c r="AB667" t="s">
        <v>74</v>
      </c>
      <c r="AC667" t="s">
        <v>74</v>
      </c>
      <c r="AD667" t="s">
        <v>74</v>
      </c>
      <c r="AE667" t="s">
        <v>74</v>
      </c>
      <c r="AF667" t="s">
        <v>74</v>
      </c>
      <c r="AG667">
        <v>52</v>
      </c>
      <c r="AH667">
        <v>58</v>
      </c>
      <c r="AI667">
        <v>80</v>
      </c>
      <c r="AJ667">
        <v>4</v>
      </c>
      <c r="AK667">
        <v>33</v>
      </c>
      <c r="AL667" t="s">
        <v>1509</v>
      </c>
      <c r="AM667" t="s">
        <v>613</v>
      </c>
      <c r="AN667" t="s">
        <v>1821</v>
      </c>
      <c r="AO667" t="s">
        <v>1921</v>
      </c>
      <c r="AP667" t="s">
        <v>1937</v>
      </c>
      <c r="AQ667" t="s">
        <v>74</v>
      </c>
      <c r="AR667" t="s">
        <v>1922</v>
      </c>
      <c r="AS667" t="s">
        <v>1923</v>
      </c>
      <c r="AT667" t="s">
        <v>8496</v>
      </c>
      <c r="AU667">
        <v>2004</v>
      </c>
      <c r="AV667">
        <v>27</v>
      </c>
      <c r="AW667">
        <v>8</v>
      </c>
      <c r="AX667" t="s">
        <v>74</v>
      </c>
      <c r="AY667" t="s">
        <v>74</v>
      </c>
      <c r="AZ667" t="s">
        <v>74</v>
      </c>
      <c r="BA667" t="s">
        <v>74</v>
      </c>
      <c r="BB667">
        <v>495</v>
      </c>
      <c r="BC667">
        <v>501</v>
      </c>
      <c r="BD667" t="s">
        <v>74</v>
      </c>
      <c r="BE667" t="s">
        <v>9677</v>
      </c>
      <c r="BF667" t="str">
        <f>HYPERLINK("http://dx.doi.org/10.1007/s00300-004-0608-2","http://dx.doi.org/10.1007/s00300-004-0608-2")</f>
        <v>http://dx.doi.org/10.1007/s00300-004-0608-2</v>
      </c>
      <c r="BG667" t="s">
        <v>74</v>
      </c>
      <c r="BH667" t="s">
        <v>74</v>
      </c>
      <c r="BI667">
        <v>7</v>
      </c>
      <c r="BJ667" t="s">
        <v>1491</v>
      </c>
      <c r="BK667" t="s">
        <v>139</v>
      </c>
      <c r="BL667" t="s">
        <v>1337</v>
      </c>
      <c r="BM667" t="s">
        <v>9657</v>
      </c>
      <c r="BN667" t="s">
        <v>74</v>
      </c>
      <c r="BO667" t="s">
        <v>74</v>
      </c>
      <c r="BP667" t="s">
        <v>74</v>
      </c>
      <c r="BQ667" t="s">
        <v>74</v>
      </c>
      <c r="BR667" t="s">
        <v>98</v>
      </c>
      <c r="BS667" t="s">
        <v>9678</v>
      </c>
      <c r="BT667" t="str">
        <f>HYPERLINK("https%3A%2F%2Fwww.webofscience.com%2Fwos%2Fwoscc%2Ffull-record%2FWOS:000222239300006","View Full Record in Web of Science")</f>
        <v>View Full Record in Web of Science</v>
      </c>
    </row>
    <row r="668" spans="1:72" x14ac:dyDescent="0.15">
      <c r="A668" t="s">
        <v>122</v>
      </c>
      <c r="B668" t="s">
        <v>9679</v>
      </c>
      <c r="C668" t="s">
        <v>74</v>
      </c>
      <c r="D668" t="s">
        <v>74</v>
      </c>
      <c r="E668" t="s">
        <v>74</v>
      </c>
      <c r="F668" t="s">
        <v>9679</v>
      </c>
      <c r="G668" t="s">
        <v>74</v>
      </c>
      <c r="H668" t="s">
        <v>74</v>
      </c>
      <c r="I668" t="s">
        <v>9680</v>
      </c>
      <c r="J668" t="s">
        <v>4977</v>
      </c>
      <c r="K668" t="s">
        <v>74</v>
      </c>
      <c r="L668" t="s">
        <v>74</v>
      </c>
      <c r="M668" t="s">
        <v>79</v>
      </c>
      <c r="N668" t="s">
        <v>126</v>
      </c>
      <c r="O668" t="s">
        <v>74</v>
      </c>
      <c r="P668" t="s">
        <v>74</v>
      </c>
      <c r="Q668" t="s">
        <v>74</v>
      </c>
      <c r="R668" t="s">
        <v>74</v>
      </c>
      <c r="S668" t="s">
        <v>74</v>
      </c>
      <c r="T668" t="s">
        <v>74</v>
      </c>
      <c r="U668" t="s">
        <v>74</v>
      </c>
      <c r="V668" t="s">
        <v>9681</v>
      </c>
      <c r="W668" t="s">
        <v>9682</v>
      </c>
      <c r="X668" t="s">
        <v>7678</v>
      </c>
      <c r="Y668" t="s">
        <v>9683</v>
      </c>
      <c r="Z668" t="s">
        <v>74</v>
      </c>
      <c r="AA668" t="s">
        <v>74</v>
      </c>
      <c r="AB668" t="s">
        <v>74</v>
      </c>
      <c r="AC668" t="s">
        <v>74</v>
      </c>
      <c r="AD668" t="s">
        <v>74</v>
      </c>
      <c r="AE668" t="s">
        <v>74</v>
      </c>
      <c r="AF668" t="s">
        <v>74</v>
      </c>
      <c r="AG668">
        <v>6</v>
      </c>
      <c r="AH668">
        <v>2</v>
      </c>
      <c r="AI668">
        <v>3</v>
      </c>
      <c r="AJ668">
        <v>0</v>
      </c>
      <c r="AK668">
        <v>0</v>
      </c>
      <c r="AL668" t="s">
        <v>919</v>
      </c>
      <c r="AM668" t="s">
        <v>613</v>
      </c>
      <c r="AN668" t="s">
        <v>920</v>
      </c>
      <c r="AO668" t="s">
        <v>4982</v>
      </c>
      <c r="AP668" t="s">
        <v>74</v>
      </c>
      <c r="AQ668" t="s">
        <v>74</v>
      </c>
      <c r="AR668" t="s">
        <v>4983</v>
      </c>
      <c r="AS668" t="s">
        <v>4984</v>
      </c>
      <c r="AT668" t="s">
        <v>8496</v>
      </c>
      <c r="AU668">
        <v>2004</v>
      </c>
      <c r="AV668">
        <v>40</v>
      </c>
      <c r="AW668">
        <v>214</v>
      </c>
      <c r="AX668" t="s">
        <v>74</v>
      </c>
      <c r="AY668" t="s">
        <v>74</v>
      </c>
      <c r="AZ668" t="s">
        <v>74</v>
      </c>
      <c r="BA668" t="s">
        <v>74</v>
      </c>
      <c r="BB668">
        <v>193</v>
      </c>
      <c r="BC668">
        <v>203</v>
      </c>
      <c r="BD668" t="s">
        <v>74</v>
      </c>
      <c r="BE668" t="s">
        <v>9684</v>
      </c>
      <c r="BF668" t="str">
        <f>HYPERLINK("http://dx.doi.org/10.1017/S003224740300336X","http://dx.doi.org/10.1017/S003224740300336X")</f>
        <v>http://dx.doi.org/10.1017/S003224740300336X</v>
      </c>
      <c r="BG668" t="s">
        <v>74</v>
      </c>
      <c r="BH668" t="s">
        <v>74</v>
      </c>
      <c r="BI668">
        <v>11</v>
      </c>
      <c r="BJ668" t="s">
        <v>1304</v>
      </c>
      <c r="BK668" t="s">
        <v>139</v>
      </c>
      <c r="BL668" t="s">
        <v>1305</v>
      </c>
      <c r="BM668" t="s">
        <v>9685</v>
      </c>
      <c r="BN668" t="s">
        <v>74</v>
      </c>
      <c r="BO668" t="s">
        <v>74</v>
      </c>
      <c r="BP668" t="s">
        <v>74</v>
      </c>
      <c r="BQ668" t="s">
        <v>74</v>
      </c>
      <c r="BR668" t="s">
        <v>98</v>
      </c>
      <c r="BS668" t="s">
        <v>9686</v>
      </c>
      <c r="BT668" t="str">
        <f>HYPERLINK("https%3A%2F%2Fwww.webofscience.com%2Fwos%2Fwoscc%2Ffull-record%2FWOS:000226634900001","View Full Record in Web of Science")</f>
        <v>View Full Record in Web of Science</v>
      </c>
    </row>
    <row r="669" spans="1:72" x14ac:dyDescent="0.15">
      <c r="A669" t="s">
        <v>122</v>
      </c>
      <c r="B669" t="s">
        <v>9687</v>
      </c>
      <c r="C669" t="s">
        <v>74</v>
      </c>
      <c r="D669" t="s">
        <v>74</v>
      </c>
      <c r="E669" t="s">
        <v>74</v>
      </c>
      <c r="F669" t="s">
        <v>9687</v>
      </c>
      <c r="G669" t="s">
        <v>74</v>
      </c>
      <c r="H669" t="s">
        <v>74</v>
      </c>
      <c r="I669" t="s">
        <v>9688</v>
      </c>
      <c r="J669" t="s">
        <v>4977</v>
      </c>
      <c r="K669" t="s">
        <v>74</v>
      </c>
      <c r="L669" t="s">
        <v>74</v>
      </c>
      <c r="M669" t="s">
        <v>79</v>
      </c>
      <c r="N669" t="s">
        <v>126</v>
      </c>
      <c r="O669" t="s">
        <v>74</v>
      </c>
      <c r="P669" t="s">
        <v>74</v>
      </c>
      <c r="Q669" t="s">
        <v>74</v>
      </c>
      <c r="R669" t="s">
        <v>74</v>
      </c>
      <c r="S669" t="s">
        <v>74</v>
      </c>
      <c r="T669" t="s">
        <v>74</v>
      </c>
      <c r="U669" t="s">
        <v>74</v>
      </c>
      <c r="V669" t="s">
        <v>9689</v>
      </c>
      <c r="W669" t="s">
        <v>9690</v>
      </c>
      <c r="X669" t="s">
        <v>9691</v>
      </c>
      <c r="Y669" t="s">
        <v>9692</v>
      </c>
      <c r="Z669" t="s">
        <v>74</v>
      </c>
      <c r="AA669" t="s">
        <v>74</v>
      </c>
      <c r="AB669" t="s">
        <v>74</v>
      </c>
      <c r="AC669" t="s">
        <v>74</v>
      </c>
      <c r="AD669" t="s">
        <v>74</v>
      </c>
      <c r="AE669" t="s">
        <v>74</v>
      </c>
      <c r="AF669" t="s">
        <v>74</v>
      </c>
      <c r="AG669">
        <v>31</v>
      </c>
      <c r="AH669">
        <v>13</v>
      </c>
      <c r="AI669">
        <v>16</v>
      </c>
      <c r="AJ669">
        <v>0</v>
      </c>
      <c r="AK669">
        <v>5</v>
      </c>
      <c r="AL669" t="s">
        <v>919</v>
      </c>
      <c r="AM669" t="s">
        <v>613</v>
      </c>
      <c r="AN669" t="s">
        <v>937</v>
      </c>
      <c r="AO669" t="s">
        <v>4982</v>
      </c>
      <c r="AP669" t="s">
        <v>74</v>
      </c>
      <c r="AQ669" t="s">
        <v>74</v>
      </c>
      <c r="AR669" t="s">
        <v>4983</v>
      </c>
      <c r="AS669" t="s">
        <v>4984</v>
      </c>
      <c r="AT669" t="s">
        <v>8496</v>
      </c>
      <c r="AU669">
        <v>2004</v>
      </c>
      <c r="AV669">
        <v>40</v>
      </c>
      <c r="AW669">
        <v>214</v>
      </c>
      <c r="AX669" t="s">
        <v>74</v>
      </c>
      <c r="AY669" t="s">
        <v>74</v>
      </c>
      <c r="AZ669" t="s">
        <v>74</v>
      </c>
      <c r="BA669" t="s">
        <v>74</v>
      </c>
      <c r="BB669">
        <v>205</v>
      </c>
      <c r="BC669">
        <v>212</v>
      </c>
      <c r="BD669" t="s">
        <v>74</v>
      </c>
      <c r="BE669" t="s">
        <v>9693</v>
      </c>
      <c r="BF669" t="str">
        <f>HYPERLINK("http://dx.doi.org/10.1017/S0032247403003371","http://dx.doi.org/10.1017/S0032247403003371")</f>
        <v>http://dx.doi.org/10.1017/S0032247403003371</v>
      </c>
      <c r="BG669" t="s">
        <v>74</v>
      </c>
      <c r="BH669" t="s">
        <v>74</v>
      </c>
      <c r="BI669">
        <v>8</v>
      </c>
      <c r="BJ669" t="s">
        <v>1304</v>
      </c>
      <c r="BK669" t="s">
        <v>139</v>
      </c>
      <c r="BL669" t="s">
        <v>1305</v>
      </c>
      <c r="BM669" t="s">
        <v>9685</v>
      </c>
      <c r="BN669" t="s">
        <v>74</v>
      </c>
      <c r="BO669" t="s">
        <v>74</v>
      </c>
      <c r="BP669" t="s">
        <v>74</v>
      </c>
      <c r="BQ669" t="s">
        <v>74</v>
      </c>
      <c r="BR669" t="s">
        <v>98</v>
      </c>
      <c r="BS669" t="s">
        <v>9694</v>
      </c>
      <c r="BT669" t="str">
        <f>HYPERLINK("https%3A%2F%2Fwww.webofscience.com%2Fwos%2Fwoscc%2Ffull-record%2FWOS:000226634900002","View Full Record in Web of Science")</f>
        <v>View Full Record in Web of Science</v>
      </c>
    </row>
    <row r="670" spans="1:72" x14ac:dyDescent="0.15">
      <c r="A670" t="s">
        <v>122</v>
      </c>
      <c r="B670" t="s">
        <v>9695</v>
      </c>
      <c r="C670" t="s">
        <v>74</v>
      </c>
      <c r="D670" t="s">
        <v>74</v>
      </c>
      <c r="E670" t="s">
        <v>74</v>
      </c>
      <c r="F670" t="s">
        <v>9695</v>
      </c>
      <c r="G670" t="s">
        <v>74</v>
      </c>
      <c r="H670" t="s">
        <v>74</v>
      </c>
      <c r="I670" t="s">
        <v>9696</v>
      </c>
      <c r="J670" t="s">
        <v>4977</v>
      </c>
      <c r="K670" t="s">
        <v>74</v>
      </c>
      <c r="L670" t="s">
        <v>74</v>
      </c>
      <c r="M670" t="s">
        <v>79</v>
      </c>
      <c r="N670" t="s">
        <v>126</v>
      </c>
      <c r="O670" t="s">
        <v>74</v>
      </c>
      <c r="P670" t="s">
        <v>74</v>
      </c>
      <c r="Q670" t="s">
        <v>74</v>
      </c>
      <c r="R670" t="s">
        <v>74</v>
      </c>
      <c r="S670" t="s">
        <v>74</v>
      </c>
      <c r="T670" t="s">
        <v>74</v>
      </c>
      <c r="U670" t="s">
        <v>74</v>
      </c>
      <c r="V670" t="s">
        <v>9697</v>
      </c>
      <c r="W670" t="s">
        <v>9698</v>
      </c>
      <c r="X670" t="s">
        <v>7678</v>
      </c>
      <c r="Y670" t="s">
        <v>9699</v>
      </c>
      <c r="Z670" t="s">
        <v>74</v>
      </c>
      <c r="AA670" t="s">
        <v>74</v>
      </c>
      <c r="AB670" t="s">
        <v>74</v>
      </c>
      <c r="AC670" t="s">
        <v>74</v>
      </c>
      <c r="AD670" t="s">
        <v>74</v>
      </c>
      <c r="AE670" t="s">
        <v>74</v>
      </c>
      <c r="AF670" t="s">
        <v>74</v>
      </c>
      <c r="AG670">
        <v>17</v>
      </c>
      <c r="AH670">
        <v>4</v>
      </c>
      <c r="AI670">
        <v>5</v>
      </c>
      <c r="AJ670">
        <v>1</v>
      </c>
      <c r="AK670">
        <v>9</v>
      </c>
      <c r="AL670" t="s">
        <v>919</v>
      </c>
      <c r="AM670" t="s">
        <v>613</v>
      </c>
      <c r="AN670" t="s">
        <v>920</v>
      </c>
      <c r="AO670" t="s">
        <v>4982</v>
      </c>
      <c r="AP670" t="s">
        <v>74</v>
      </c>
      <c r="AQ670" t="s">
        <v>74</v>
      </c>
      <c r="AR670" t="s">
        <v>4983</v>
      </c>
      <c r="AS670" t="s">
        <v>4984</v>
      </c>
      <c r="AT670" t="s">
        <v>8496</v>
      </c>
      <c r="AU670">
        <v>2004</v>
      </c>
      <c r="AV670">
        <v>40</v>
      </c>
      <c r="AW670">
        <v>214</v>
      </c>
      <c r="AX670" t="s">
        <v>74</v>
      </c>
      <c r="AY670" t="s">
        <v>74</v>
      </c>
      <c r="AZ670" t="s">
        <v>74</v>
      </c>
      <c r="BA670" t="s">
        <v>74</v>
      </c>
      <c r="BB670">
        <v>221</v>
      </c>
      <c r="BC670">
        <v>234</v>
      </c>
      <c r="BD670" t="s">
        <v>74</v>
      </c>
      <c r="BE670" t="s">
        <v>9700</v>
      </c>
      <c r="BF670" t="str">
        <f>HYPERLINK("http://dx.doi.org/10.1017/S003224740400347X","http://dx.doi.org/10.1017/S003224740400347X")</f>
        <v>http://dx.doi.org/10.1017/S003224740400347X</v>
      </c>
      <c r="BG670" t="s">
        <v>74</v>
      </c>
      <c r="BH670" t="s">
        <v>74</v>
      </c>
      <c r="BI670">
        <v>14</v>
      </c>
      <c r="BJ670" t="s">
        <v>1304</v>
      </c>
      <c r="BK670" t="s">
        <v>139</v>
      </c>
      <c r="BL670" t="s">
        <v>1305</v>
      </c>
      <c r="BM670" t="s">
        <v>9685</v>
      </c>
      <c r="BN670" t="s">
        <v>74</v>
      </c>
      <c r="BO670" t="s">
        <v>988</v>
      </c>
      <c r="BP670" t="s">
        <v>74</v>
      </c>
      <c r="BQ670" t="s">
        <v>74</v>
      </c>
      <c r="BR670" t="s">
        <v>98</v>
      </c>
      <c r="BS670" t="s">
        <v>9701</v>
      </c>
      <c r="BT670" t="str">
        <f>HYPERLINK("https%3A%2F%2Fwww.webofscience.com%2Fwos%2Fwoscc%2Ffull-record%2FWOS:000226634900004","View Full Record in Web of Science")</f>
        <v>View Full Record in Web of Science</v>
      </c>
    </row>
    <row r="671" spans="1:72" x14ac:dyDescent="0.15">
      <c r="A671" t="s">
        <v>122</v>
      </c>
      <c r="B671" t="s">
        <v>9702</v>
      </c>
      <c r="C671" t="s">
        <v>74</v>
      </c>
      <c r="D671" t="s">
        <v>74</v>
      </c>
      <c r="E671" t="s">
        <v>74</v>
      </c>
      <c r="F671" t="s">
        <v>9702</v>
      </c>
      <c r="G671" t="s">
        <v>74</v>
      </c>
      <c r="H671" t="s">
        <v>74</v>
      </c>
      <c r="I671" t="s">
        <v>9703</v>
      </c>
      <c r="J671" t="s">
        <v>4977</v>
      </c>
      <c r="K671" t="s">
        <v>74</v>
      </c>
      <c r="L671" t="s">
        <v>74</v>
      </c>
      <c r="M671" t="s">
        <v>79</v>
      </c>
      <c r="N671" t="s">
        <v>126</v>
      </c>
      <c r="O671" t="s">
        <v>74</v>
      </c>
      <c r="P671" t="s">
        <v>74</v>
      </c>
      <c r="Q671" t="s">
        <v>74</v>
      </c>
      <c r="R671" t="s">
        <v>74</v>
      </c>
      <c r="S671" t="s">
        <v>74</v>
      </c>
      <c r="T671" t="s">
        <v>74</v>
      </c>
      <c r="U671" t="s">
        <v>74</v>
      </c>
      <c r="V671" t="s">
        <v>9704</v>
      </c>
      <c r="W671" t="s">
        <v>9705</v>
      </c>
      <c r="X671" t="s">
        <v>9706</v>
      </c>
      <c r="Y671" t="s">
        <v>9707</v>
      </c>
      <c r="Z671" t="s">
        <v>74</v>
      </c>
      <c r="AA671" t="s">
        <v>74</v>
      </c>
      <c r="AB671" t="s">
        <v>74</v>
      </c>
      <c r="AC671" t="s">
        <v>74</v>
      </c>
      <c r="AD671" t="s">
        <v>74</v>
      </c>
      <c r="AE671" t="s">
        <v>74</v>
      </c>
      <c r="AF671" t="s">
        <v>74</v>
      </c>
      <c r="AG671">
        <v>28</v>
      </c>
      <c r="AH671">
        <v>4</v>
      </c>
      <c r="AI671">
        <v>6</v>
      </c>
      <c r="AJ671">
        <v>0</v>
      </c>
      <c r="AK671">
        <v>7</v>
      </c>
      <c r="AL671" t="s">
        <v>919</v>
      </c>
      <c r="AM671" t="s">
        <v>613</v>
      </c>
      <c r="AN671" t="s">
        <v>920</v>
      </c>
      <c r="AO671" t="s">
        <v>4982</v>
      </c>
      <c r="AP671" t="s">
        <v>74</v>
      </c>
      <c r="AQ671" t="s">
        <v>74</v>
      </c>
      <c r="AR671" t="s">
        <v>4983</v>
      </c>
      <c r="AS671" t="s">
        <v>4984</v>
      </c>
      <c r="AT671" t="s">
        <v>8496</v>
      </c>
      <c r="AU671">
        <v>2004</v>
      </c>
      <c r="AV671">
        <v>40</v>
      </c>
      <c r="AW671">
        <v>214</v>
      </c>
      <c r="AX671" t="s">
        <v>74</v>
      </c>
      <c r="AY671" t="s">
        <v>74</v>
      </c>
      <c r="AZ671" t="s">
        <v>74</v>
      </c>
      <c r="BA671" t="s">
        <v>74</v>
      </c>
      <c r="BB671">
        <v>235</v>
      </c>
      <c r="BC671">
        <v>243</v>
      </c>
      <c r="BD671" t="s">
        <v>74</v>
      </c>
      <c r="BE671" t="s">
        <v>9708</v>
      </c>
      <c r="BF671" t="str">
        <f>HYPERLINK("http://dx.doi.org/10.1017/S0032247404003614","http://dx.doi.org/10.1017/S0032247404003614")</f>
        <v>http://dx.doi.org/10.1017/S0032247404003614</v>
      </c>
      <c r="BG671" t="s">
        <v>74</v>
      </c>
      <c r="BH671" t="s">
        <v>74</v>
      </c>
      <c r="BI671">
        <v>9</v>
      </c>
      <c r="BJ671" t="s">
        <v>1304</v>
      </c>
      <c r="BK671" t="s">
        <v>139</v>
      </c>
      <c r="BL671" t="s">
        <v>1305</v>
      </c>
      <c r="BM671" t="s">
        <v>9685</v>
      </c>
      <c r="BN671" t="s">
        <v>74</v>
      </c>
      <c r="BO671" t="s">
        <v>74</v>
      </c>
      <c r="BP671" t="s">
        <v>74</v>
      </c>
      <c r="BQ671" t="s">
        <v>74</v>
      </c>
      <c r="BR671" t="s">
        <v>98</v>
      </c>
      <c r="BS671" t="s">
        <v>9709</v>
      </c>
      <c r="BT671" t="str">
        <f>HYPERLINK("https%3A%2F%2Fwww.webofscience.com%2Fwos%2Fwoscc%2Ffull-record%2FWOS:000226634900005","View Full Record in Web of Science")</f>
        <v>View Full Record in Web of Science</v>
      </c>
    </row>
    <row r="672" spans="1:72" x14ac:dyDescent="0.15">
      <c r="A672" t="s">
        <v>122</v>
      </c>
      <c r="B672" t="s">
        <v>9710</v>
      </c>
      <c r="C672" t="s">
        <v>74</v>
      </c>
      <c r="D672" t="s">
        <v>74</v>
      </c>
      <c r="E672" t="s">
        <v>74</v>
      </c>
      <c r="F672" t="s">
        <v>9710</v>
      </c>
      <c r="G672" t="s">
        <v>74</v>
      </c>
      <c r="H672" t="s">
        <v>74</v>
      </c>
      <c r="I672" t="s">
        <v>9711</v>
      </c>
      <c r="J672" t="s">
        <v>4977</v>
      </c>
      <c r="K672" t="s">
        <v>74</v>
      </c>
      <c r="L672" t="s">
        <v>74</v>
      </c>
      <c r="M672" t="s">
        <v>79</v>
      </c>
      <c r="N672" t="s">
        <v>126</v>
      </c>
      <c r="O672" t="s">
        <v>74</v>
      </c>
      <c r="P672" t="s">
        <v>74</v>
      </c>
      <c r="Q672" t="s">
        <v>74</v>
      </c>
      <c r="R672" t="s">
        <v>74</v>
      </c>
      <c r="S672" t="s">
        <v>74</v>
      </c>
      <c r="T672" t="s">
        <v>74</v>
      </c>
      <c r="U672" t="s">
        <v>74</v>
      </c>
      <c r="V672" t="s">
        <v>9712</v>
      </c>
      <c r="W672" t="s">
        <v>9713</v>
      </c>
      <c r="X672" t="s">
        <v>9714</v>
      </c>
      <c r="Y672" t="s">
        <v>9715</v>
      </c>
      <c r="Z672" t="s">
        <v>9716</v>
      </c>
      <c r="AA672" t="s">
        <v>74</v>
      </c>
      <c r="AB672" t="s">
        <v>74</v>
      </c>
      <c r="AC672" t="s">
        <v>74</v>
      </c>
      <c r="AD672" t="s">
        <v>74</v>
      </c>
      <c r="AE672" t="s">
        <v>74</v>
      </c>
      <c r="AF672" t="s">
        <v>74</v>
      </c>
      <c r="AG672">
        <v>27</v>
      </c>
      <c r="AH672">
        <v>0</v>
      </c>
      <c r="AI672">
        <v>0</v>
      </c>
      <c r="AJ672">
        <v>0</v>
      </c>
      <c r="AK672">
        <v>2</v>
      </c>
      <c r="AL672" t="s">
        <v>919</v>
      </c>
      <c r="AM672" t="s">
        <v>613</v>
      </c>
      <c r="AN672" t="s">
        <v>937</v>
      </c>
      <c r="AO672" t="s">
        <v>4982</v>
      </c>
      <c r="AP672" t="s">
        <v>9717</v>
      </c>
      <c r="AQ672" t="s">
        <v>74</v>
      </c>
      <c r="AR672" t="s">
        <v>4983</v>
      </c>
      <c r="AS672" t="s">
        <v>4984</v>
      </c>
      <c r="AT672" t="s">
        <v>8496</v>
      </c>
      <c r="AU672">
        <v>2004</v>
      </c>
      <c r="AV672">
        <v>40</v>
      </c>
      <c r="AW672">
        <v>214</v>
      </c>
      <c r="AX672" t="s">
        <v>74</v>
      </c>
      <c r="AY672" t="s">
        <v>74</v>
      </c>
      <c r="AZ672" t="s">
        <v>74</v>
      </c>
      <c r="BA672" t="s">
        <v>74</v>
      </c>
      <c r="BB672">
        <v>253</v>
      </c>
      <c r="BC672">
        <v>260</v>
      </c>
      <c r="BD672" t="s">
        <v>74</v>
      </c>
      <c r="BE672" t="s">
        <v>9718</v>
      </c>
      <c r="BF672" t="str">
        <f>HYPERLINK("http://dx.doi.org/10.1017/S003224740400364X","http://dx.doi.org/10.1017/S003224740400364X")</f>
        <v>http://dx.doi.org/10.1017/S003224740400364X</v>
      </c>
      <c r="BG672" t="s">
        <v>74</v>
      </c>
      <c r="BH672" t="s">
        <v>74</v>
      </c>
      <c r="BI672">
        <v>8</v>
      </c>
      <c r="BJ672" t="s">
        <v>1304</v>
      </c>
      <c r="BK672" t="s">
        <v>139</v>
      </c>
      <c r="BL672" t="s">
        <v>1305</v>
      </c>
      <c r="BM672" t="s">
        <v>9685</v>
      </c>
      <c r="BN672" t="s">
        <v>74</v>
      </c>
      <c r="BO672" t="s">
        <v>74</v>
      </c>
      <c r="BP672" t="s">
        <v>74</v>
      </c>
      <c r="BQ672" t="s">
        <v>74</v>
      </c>
      <c r="BR672" t="s">
        <v>98</v>
      </c>
      <c r="BS672" t="s">
        <v>9719</v>
      </c>
      <c r="BT672" t="str">
        <f>HYPERLINK("https%3A%2F%2Fwww.webofscience.com%2Fwos%2Fwoscc%2Ffull-record%2FWOS:000226634900007","View Full Record in Web of Science")</f>
        <v>View Full Record in Web of Science</v>
      </c>
    </row>
    <row r="673" spans="1:72" x14ac:dyDescent="0.15">
      <c r="A673" t="s">
        <v>122</v>
      </c>
      <c r="B673" t="s">
        <v>9720</v>
      </c>
      <c r="C673" t="s">
        <v>74</v>
      </c>
      <c r="D673" t="s">
        <v>74</v>
      </c>
      <c r="E673" t="s">
        <v>74</v>
      </c>
      <c r="F673" t="s">
        <v>9720</v>
      </c>
      <c r="G673" t="s">
        <v>74</v>
      </c>
      <c r="H673" t="s">
        <v>74</v>
      </c>
      <c r="I673" t="s">
        <v>9721</v>
      </c>
      <c r="J673" t="s">
        <v>5038</v>
      </c>
      <c r="K673" t="s">
        <v>74</v>
      </c>
      <c r="L673" t="s">
        <v>74</v>
      </c>
      <c r="M673" t="s">
        <v>79</v>
      </c>
      <c r="N673" t="s">
        <v>126</v>
      </c>
      <c r="O673" t="s">
        <v>74</v>
      </c>
      <c r="P673" t="s">
        <v>74</v>
      </c>
      <c r="Q673" t="s">
        <v>74</v>
      </c>
      <c r="R673" t="s">
        <v>74</v>
      </c>
      <c r="S673" t="s">
        <v>74</v>
      </c>
      <c r="T673" t="s">
        <v>74</v>
      </c>
      <c r="U673" t="s">
        <v>9722</v>
      </c>
      <c r="V673" t="s">
        <v>9723</v>
      </c>
      <c r="W673" t="s">
        <v>9724</v>
      </c>
      <c r="X673" t="s">
        <v>9725</v>
      </c>
      <c r="Y673" t="s">
        <v>9726</v>
      </c>
      <c r="Z673" t="s">
        <v>9727</v>
      </c>
      <c r="AA673" t="s">
        <v>9728</v>
      </c>
      <c r="AB673" t="s">
        <v>9729</v>
      </c>
      <c r="AC673" t="s">
        <v>74</v>
      </c>
      <c r="AD673" t="s">
        <v>74</v>
      </c>
      <c r="AE673" t="s">
        <v>74</v>
      </c>
      <c r="AF673" t="s">
        <v>74</v>
      </c>
      <c r="AG673">
        <v>32</v>
      </c>
      <c r="AH673">
        <v>233</v>
      </c>
      <c r="AI673">
        <v>253</v>
      </c>
      <c r="AJ673">
        <v>0</v>
      </c>
      <c r="AK673">
        <v>34</v>
      </c>
      <c r="AL673" t="s">
        <v>1273</v>
      </c>
      <c r="AM673" t="s">
        <v>197</v>
      </c>
      <c r="AN673" t="s">
        <v>1274</v>
      </c>
      <c r="AO673" t="s">
        <v>5047</v>
      </c>
      <c r="AP673" t="s">
        <v>74</v>
      </c>
      <c r="AQ673" t="s">
        <v>74</v>
      </c>
      <c r="AR673" t="s">
        <v>5048</v>
      </c>
      <c r="AS673" t="s">
        <v>5049</v>
      </c>
      <c r="AT673" t="s">
        <v>8757</v>
      </c>
      <c r="AU673">
        <v>2004</v>
      </c>
      <c r="AV673">
        <v>23</v>
      </c>
      <c r="AW673" t="s">
        <v>9730</v>
      </c>
      <c r="AX673" t="s">
        <v>74</v>
      </c>
      <c r="AY673" t="s">
        <v>74</v>
      </c>
      <c r="AZ673" t="s">
        <v>74</v>
      </c>
      <c r="BA673" t="s">
        <v>74</v>
      </c>
      <c r="BB673">
        <v>1513</v>
      </c>
      <c r="BC673">
        <v>1522</v>
      </c>
      <c r="BD673" t="s">
        <v>74</v>
      </c>
      <c r="BE673" t="s">
        <v>9731</v>
      </c>
      <c r="BF673" t="str">
        <f>HYPERLINK("http://dx.doi.org/10.1016/j.quascirev.2004.03.006","http://dx.doi.org/10.1016/j.quascirev.2004.03.006")</f>
        <v>http://dx.doi.org/10.1016/j.quascirev.2004.03.006</v>
      </c>
      <c r="BG673" t="s">
        <v>74</v>
      </c>
      <c r="BH673" t="s">
        <v>74</v>
      </c>
      <c r="BI673">
        <v>10</v>
      </c>
      <c r="BJ673" t="s">
        <v>3767</v>
      </c>
      <c r="BK673" t="s">
        <v>139</v>
      </c>
      <c r="BL673" t="s">
        <v>3768</v>
      </c>
      <c r="BM673" t="s">
        <v>9732</v>
      </c>
      <c r="BN673" t="s">
        <v>74</v>
      </c>
      <c r="BO673" t="s">
        <v>74</v>
      </c>
      <c r="BP673" t="s">
        <v>74</v>
      </c>
      <c r="BQ673" t="s">
        <v>74</v>
      </c>
      <c r="BR673" t="s">
        <v>98</v>
      </c>
      <c r="BS673" t="s">
        <v>9733</v>
      </c>
      <c r="BT673" t="str">
        <f>HYPERLINK("https%3A%2F%2Fwww.webofscience.com%2Fwos%2Fwoscc%2Ffull-record%2FWOS:000222438500001","View Full Record in Web of Science")</f>
        <v>View Full Record in Web of Science</v>
      </c>
    </row>
    <row r="674" spans="1:72" x14ac:dyDescent="0.15">
      <c r="A674" t="s">
        <v>122</v>
      </c>
      <c r="B674" t="s">
        <v>9734</v>
      </c>
      <c r="C674" t="s">
        <v>74</v>
      </c>
      <c r="D674" t="s">
        <v>74</v>
      </c>
      <c r="E674" t="s">
        <v>74</v>
      </c>
      <c r="F674" t="s">
        <v>9734</v>
      </c>
      <c r="G674" t="s">
        <v>74</v>
      </c>
      <c r="H674" t="s">
        <v>74</v>
      </c>
      <c r="I674" t="s">
        <v>9735</v>
      </c>
      <c r="J674" t="s">
        <v>9736</v>
      </c>
      <c r="K674" t="s">
        <v>74</v>
      </c>
      <c r="L674" t="s">
        <v>74</v>
      </c>
      <c r="M674" t="s">
        <v>79</v>
      </c>
      <c r="N674" t="s">
        <v>126</v>
      </c>
      <c r="O674" t="s">
        <v>74</v>
      </c>
      <c r="P674" t="s">
        <v>74</v>
      </c>
      <c r="Q674" t="s">
        <v>74</v>
      </c>
      <c r="R674" t="s">
        <v>74</v>
      </c>
      <c r="S674" t="s">
        <v>74</v>
      </c>
      <c r="T674" t="s">
        <v>9737</v>
      </c>
      <c r="U674" t="s">
        <v>9738</v>
      </c>
      <c r="V674" t="s">
        <v>9739</v>
      </c>
      <c r="W674" t="s">
        <v>9740</v>
      </c>
      <c r="X674" t="s">
        <v>9741</v>
      </c>
      <c r="Y674" t="s">
        <v>9742</v>
      </c>
      <c r="Z674" t="s">
        <v>9743</v>
      </c>
      <c r="AA674" t="s">
        <v>9744</v>
      </c>
      <c r="AB674" t="s">
        <v>9745</v>
      </c>
      <c r="AC674" t="s">
        <v>74</v>
      </c>
      <c r="AD674" t="s">
        <v>74</v>
      </c>
      <c r="AE674" t="s">
        <v>74</v>
      </c>
      <c r="AF674" t="s">
        <v>74</v>
      </c>
      <c r="AG674">
        <v>30</v>
      </c>
      <c r="AH674">
        <v>7</v>
      </c>
      <c r="AI674">
        <v>10</v>
      </c>
      <c r="AJ674">
        <v>0</v>
      </c>
      <c r="AK674">
        <v>11</v>
      </c>
      <c r="AL674" t="s">
        <v>562</v>
      </c>
      <c r="AM674" t="s">
        <v>532</v>
      </c>
      <c r="AN674" t="s">
        <v>563</v>
      </c>
      <c r="AO674" t="s">
        <v>9746</v>
      </c>
      <c r="AP674" t="s">
        <v>74</v>
      </c>
      <c r="AQ674" t="s">
        <v>74</v>
      </c>
      <c r="AR674" t="s">
        <v>9747</v>
      </c>
      <c r="AS674" t="s">
        <v>9748</v>
      </c>
      <c r="AT674" t="s">
        <v>8757</v>
      </c>
      <c r="AU674">
        <v>2004</v>
      </c>
      <c r="AV674">
        <v>155</v>
      </c>
      <c r="AW674">
        <v>6</v>
      </c>
      <c r="AX674" t="s">
        <v>74</v>
      </c>
      <c r="AY674" t="s">
        <v>74</v>
      </c>
      <c r="AZ674" t="s">
        <v>74</v>
      </c>
      <c r="BA674" t="s">
        <v>74</v>
      </c>
      <c r="BB674">
        <v>483</v>
      </c>
      <c r="BC674">
        <v>490</v>
      </c>
      <c r="BD674" t="s">
        <v>74</v>
      </c>
      <c r="BE674" t="s">
        <v>9749</v>
      </c>
      <c r="BF674" t="str">
        <f>HYPERLINK("http://dx.doi.org/10.1016/j.resmic.2004.02.007","http://dx.doi.org/10.1016/j.resmic.2004.02.007")</f>
        <v>http://dx.doi.org/10.1016/j.resmic.2004.02.007</v>
      </c>
      <c r="BG674" t="s">
        <v>74</v>
      </c>
      <c r="BH674" t="s">
        <v>74</v>
      </c>
      <c r="BI674">
        <v>8</v>
      </c>
      <c r="BJ674" t="s">
        <v>1536</v>
      </c>
      <c r="BK674" t="s">
        <v>139</v>
      </c>
      <c r="BL674" t="s">
        <v>1536</v>
      </c>
      <c r="BM674" t="s">
        <v>9750</v>
      </c>
      <c r="BN674">
        <v>15249066</v>
      </c>
      <c r="BO674" t="s">
        <v>2236</v>
      </c>
      <c r="BP674" t="s">
        <v>74</v>
      </c>
      <c r="BQ674" t="s">
        <v>74</v>
      </c>
      <c r="BR674" t="s">
        <v>98</v>
      </c>
      <c r="BS674" t="s">
        <v>9751</v>
      </c>
      <c r="BT674" t="str">
        <f>HYPERLINK("https%3A%2F%2Fwww.webofscience.com%2Fwos%2Fwoscc%2Ffull-record%2FWOS:000223090400009","View Full Record in Web of Science")</f>
        <v>View Full Record in Web of Science</v>
      </c>
    </row>
    <row r="675" spans="1:72" x14ac:dyDescent="0.15">
      <c r="A675" t="s">
        <v>122</v>
      </c>
      <c r="B675" t="s">
        <v>9752</v>
      </c>
      <c r="C675" t="s">
        <v>74</v>
      </c>
      <c r="D675" t="s">
        <v>74</v>
      </c>
      <c r="E675" t="s">
        <v>74</v>
      </c>
      <c r="F675" t="s">
        <v>9752</v>
      </c>
      <c r="G675" t="s">
        <v>74</v>
      </c>
      <c r="H675" t="s">
        <v>74</v>
      </c>
      <c r="I675" t="s">
        <v>9753</v>
      </c>
      <c r="J675" t="s">
        <v>9754</v>
      </c>
      <c r="K675" t="s">
        <v>74</v>
      </c>
      <c r="L675" t="s">
        <v>74</v>
      </c>
      <c r="M675" t="s">
        <v>79</v>
      </c>
      <c r="N675" t="s">
        <v>126</v>
      </c>
      <c r="O675" t="s">
        <v>74</v>
      </c>
      <c r="P675" t="s">
        <v>74</v>
      </c>
      <c r="Q675" t="s">
        <v>74</v>
      </c>
      <c r="R675" t="s">
        <v>74</v>
      </c>
      <c r="S675" t="s">
        <v>74</v>
      </c>
      <c r="T675" t="s">
        <v>9755</v>
      </c>
      <c r="U675" t="s">
        <v>74</v>
      </c>
      <c r="V675" t="s">
        <v>74</v>
      </c>
      <c r="W675" t="s">
        <v>6114</v>
      </c>
      <c r="X675" t="s">
        <v>6115</v>
      </c>
      <c r="Y675" t="s">
        <v>9756</v>
      </c>
      <c r="Z675" t="s">
        <v>74</v>
      </c>
      <c r="AA675" t="s">
        <v>74</v>
      </c>
      <c r="AB675" t="s">
        <v>74</v>
      </c>
      <c r="AC675" t="s">
        <v>74</v>
      </c>
      <c r="AD675" t="s">
        <v>74</v>
      </c>
      <c r="AE675" t="s">
        <v>74</v>
      </c>
      <c r="AF675" t="s">
        <v>74</v>
      </c>
      <c r="AG675">
        <v>28</v>
      </c>
      <c r="AH675">
        <v>2</v>
      </c>
      <c r="AI675">
        <v>2</v>
      </c>
      <c r="AJ675">
        <v>0</v>
      </c>
      <c r="AK675">
        <v>4</v>
      </c>
      <c r="AL675" t="s">
        <v>6788</v>
      </c>
      <c r="AM675" t="s">
        <v>613</v>
      </c>
      <c r="AN675" t="s">
        <v>6789</v>
      </c>
      <c r="AO675" t="s">
        <v>9757</v>
      </c>
      <c r="AP675" t="s">
        <v>74</v>
      </c>
      <c r="AQ675" t="s">
        <v>74</v>
      </c>
      <c r="AR675" t="s">
        <v>9758</v>
      </c>
      <c r="AS675" t="s">
        <v>9759</v>
      </c>
      <c r="AT675" t="s">
        <v>8757</v>
      </c>
      <c r="AU675">
        <v>2004</v>
      </c>
      <c r="AV675">
        <v>35</v>
      </c>
      <c r="AW675">
        <v>4</v>
      </c>
      <c r="AX675" t="s">
        <v>74</v>
      </c>
      <c r="AY675" t="s">
        <v>74</v>
      </c>
      <c r="AZ675" t="s">
        <v>74</v>
      </c>
      <c r="BA675" t="s">
        <v>74</v>
      </c>
      <c r="BB675">
        <v>274</v>
      </c>
      <c r="BC675">
        <v>278</v>
      </c>
      <c r="BD675" t="s">
        <v>74</v>
      </c>
      <c r="BE675" t="s">
        <v>9760</v>
      </c>
      <c r="BF675" t="str">
        <f>HYPERLINK("http://dx.doi.org/10.1023/B:RUSE.0000033799.26911.4d","http://dx.doi.org/10.1023/B:RUSE.0000033799.26911.4d")</f>
        <v>http://dx.doi.org/10.1023/B:RUSE.0000033799.26911.4d</v>
      </c>
      <c r="BG675" t="s">
        <v>74</v>
      </c>
      <c r="BH675" t="s">
        <v>74</v>
      </c>
      <c r="BI675">
        <v>5</v>
      </c>
      <c r="BJ675" t="s">
        <v>3165</v>
      </c>
      <c r="BK675" t="s">
        <v>139</v>
      </c>
      <c r="BL675" t="s">
        <v>1305</v>
      </c>
      <c r="BM675" t="s">
        <v>9761</v>
      </c>
      <c r="BN675" t="s">
        <v>74</v>
      </c>
      <c r="BO675" t="s">
        <v>74</v>
      </c>
      <c r="BP675" t="s">
        <v>74</v>
      </c>
      <c r="BQ675" t="s">
        <v>74</v>
      </c>
      <c r="BR675" t="s">
        <v>98</v>
      </c>
      <c r="BS675" t="s">
        <v>9762</v>
      </c>
      <c r="BT675" t="str">
        <f>HYPERLINK("https%3A%2F%2Fwww.webofscience.com%2Fwos%2Fwoscc%2Ffull-record%2FWOS:000223396000013","View Full Record in Web of Science")</f>
        <v>View Full Record in Web of Science</v>
      </c>
    </row>
    <row r="676" spans="1:72" x14ac:dyDescent="0.15">
      <c r="A676" t="s">
        <v>122</v>
      </c>
      <c r="B676" t="s">
        <v>9763</v>
      </c>
      <c r="C676" t="s">
        <v>74</v>
      </c>
      <c r="D676" t="s">
        <v>74</v>
      </c>
      <c r="E676" t="s">
        <v>74</v>
      </c>
      <c r="F676" t="s">
        <v>9763</v>
      </c>
      <c r="G676" t="s">
        <v>74</v>
      </c>
      <c r="H676" t="s">
        <v>74</v>
      </c>
      <c r="I676" t="s">
        <v>9764</v>
      </c>
      <c r="J676" t="s">
        <v>3773</v>
      </c>
      <c r="K676" t="s">
        <v>74</v>
      </c>
      <c r="L676" t="s">
        <v>74</v>
      </c>
      <c r="M676" t="s">
        <v>79</v>
      </c>
      <c r="N676" t="s">
        <v>918</v>
      </c>
      <c r="O676" t="s">
        <v>74</v>
      </c>
      <c r="P676" t="s">
        <v>74</v>
      </c>
      <c r="Q676" t="s">
        <v>74</v>
      </c>
      <c r="R676" t="s">
        <v>74</v>
      </c>
      <c r="S676" t="s">
        <v>74</v>
      </c>
      <c r="T676" t="s">
        <v>74</v>
      </c>
      <c r="U676" t="s">
        <v>9765</v>
      </c>
      <c r="V676" t="s">
        <v>9766</v>
      </c>
      <c r="W676" t="s">
        <v>9767</v>
      </c>
      <c r="X676" t="s">
        <v>9768</v>
      </c>
      <c r="Y676" t="s">
        <v>9769</v>
      </c>
      <c r="Z676" t="s">
        <v>9770</v>
      </c>
      <c r="AA676" t="s">
        <v>9771</v>
      </c>
      <c r="AB676" t="s">
        <v>9772</v>
      </c>
      <c r="AC676" t="s">
        <v>74</v>
      </c>
      <c r="AD676" t="s">
        <v>74</v>
      </c>
      <c r="AE676" t="s">
        <v>74</v>
      </c>
      <c r="AF676" t="s">
        <v>74</v>
      </c>
      <c r="AG676">
        <v>14</v>
      </c>
      <c r="AH676">
        <v>7</v>
      </c>
      <c r="AI676">
        <v>7</v>
      </c>
      <c r="AJ676">
        <v>0</v>
      </c>
      <c r="AK676">
        <v>6</v>
      </c>
      <c r="AL676" t="s">
        <v>3782</v>
      </c>
      <c r="AM676" t="s">
        <v>3783</v>
      </c>
      <c r="AN676" t="s">
        <v>3784</v>
      </c>
      <c r="AO676" t="s">
        <v>3785</v>
      </c>
      <c r="AP676" t="s">
        <v>9773</v>
      </c>
      <c r="AQ676" t="s">
        <v>74</v>
      </c>
      <c r="AR676" t="s">
        <v>3786</v>
      </c>
      <c r="AS676" t="s">
        <v>3787</v>
      </c>
      <c r="AT676" t="s">
        <v>8757</v>
      </c>
      <c r="AU676">
        <v>2004</v>
      </c>
      <c r="AV676">
        <v>100</v>
      </c>
      <c r="AW676" t="s">
        <v>8848</v>
      </c>
      <c r="AX676" t="s">
        <v>74</v>
      </c>
      <c r="AY676" t="s">
        <v>74</v>
      </c>
      <c r="AZ676" t="s">
        <v>74</v>
      </c>
      <c r="BA676" t="s">
        <v>74</v>
      </c>
      <c r="BB676">
        <v>319</v>
      </c>
      <c r="BC676">
        <v>322</v>
      </c>
      <c r="BD676" t="s">
        <v>74</v>
      </c>
      <c r="BE676" t="s">
        <v>74</v>
      </c>
      <c r="BF676" t="s">
        <v>74</v>
      </c>
      <c r="BG676" t="s">
        <v>74</v>
      </c>
      <c r="BH676" t="s">
        <v>74</v>
      </c>
      <c r="BI676">
        <v>4</v>
      </c>
      <c r="BJ676" t="s">
        <v>381</v>
      </c>
      <c r="BK676" t="s">
        <v>139</v>
      </c>
      <c r="BL676" t="s">
        <v>382</v>
      </c>
      <c r="BM676" t="s">
        <v>9774</v>
      </c>
      <c r="BN676" t="s">
        <v>74</v>
      </c>
      <c r="BO676" t="s">
        <v>74</v>
      </c>
      <c r="BP676" t="s">
        <v>74</v>
      </c>
      <c r="BQ676" t="s">
        <v>74</v>
      </c>
      <c r="BR676" t="s">
        <v>98</v>
      </c>
      <c r="BS676" t="s">
        <v>9775</v>
      </c>
      <c r="BT676" t="str">
        <f>HYPERLINK("https%3A%2F%2Fwww.webofscience.com%2Fwos%2Fwoscc%2Ffull-record%2FWOS:000224564500002","View Full Record in Web of Science")</f>
        <v>View Full Record in Web of Science</v>
      </c>
    </row>
    <row r="677" spans="1:72" x14ac:dyDescent="0.15">
      <c r="A677" t="s">
        <v>122</v>
      </c>
      <c r="B677" t="s">
        <v>9776</v>
      </c>
      <c r="C677" t="s">
        <v>74</v>
      </c>
      <c r="D677" t="s">
        <v>74</v>
      </c>
      <c r="E677" t="s">
        <v>74</v>
      </c>
      <c r="F677" t="s">
        <v>9776</v>
      </c>
      <c r="G677" t="s">
        <v>74</v>
      </c>
      <c r="H677" t="s">
        <v>74</v>
      </c>
      <c r="I677" t="s">
        <v>9777</v>
      </c>
      <c r="J677" t="s">
        <v>9778</v>
      </c>
      <c r="K677" t="s">
        <v>74</v>
      </c>
      <c r="L677" t="s">
        <v>74</v>
      </c>
      <c r="M677" t="s">
        <v>79</v>
      </c>
      <c r="N677" t="s">
        <v>126</v>
      </c>
      <c r="O677" t="s">
        <v>74</v>
      </c>
      <c r="P677" t="s">
        <v>74</v>
      </c>
      <c r="Q677" t="s">
        <v>74</v>
      </c>
      <c r="R677" t="s">
        <v>74</v>
      </c>
      <c r="S677" t="s">
        <v>74</v>
      </c>
      <c r="T677" t="s">
        <v>9779</v>
      </c>
      <c r="U677" t="s">
        <v>9780</v>
      </c>
      <c r="V677" t="s">
        <v>9781</v>
      </c>
      <c r="W677" t="s">
        <v>9782</v>
      </c>
      <c r="X677" t="s">
        <v>9783</v>
      </c>
      <c r="Y677" t="s">
        <v>9784</v>
      </c>
      <c r="Z677" t="s">
        <v>9785</v>
      </c>
      <c r="AA677" t="s">
        <v>9786</v>
      </c>
      <c r="AB677" t="s">
        <v>74</v>
      </c>
      <c r="AC677" t="s">
        <v>74</v>
      </c>
      <c r="AD677" t="s">
        <v>74</v>
      </c>
      <c r="AE677" t="s">
        <v>74</v>
      </c>
      <c r="AF677" t="s">
        <v>74</v>
      </c>
      <c r="AG677">
        <v>17</v>
      </c>
      <c r="AH677">
        <v>10</v>
      </c>
      <c r="AI677">
        <v>13</v>
      </c>
      <c r="AJ677">
        <v>2</v>
      </c>
      <c r="AK677">
        <v>12</v>
      </c>
      <c r="AL677" t="s">
        <v>1273</v>
      </c>
      <c r="AM677" t="s">
        <v>197</v>
      </c>
      <c r="AN677" t="s">
        <v>1274</v>
      </c>
      <c r="AO677" t="s">
        <v>9787</v>
      </c>
      <c r="AP677" t="s">
        <v>74</v>
      </c>
      <c r="AQ677" t="s">
        <v>74</v>
      </c>
      <c r="AR677" t="s">
        <v>9788</v>
      </c>
      <c r="AS677" t="s">
        <v>9789</v>
      </c>
      <c r="AT677" t="s">
        <v>8496</v>
      </c>
      <c r="AU677">
        <v>2004</v>
      </c>
      <c r="AV677">
        <v>60</v>
      </c>
      <c r="AW677" t="s">
        <v>9790</v>
      </c>
      <c r="AX677" t="s">
        <v>74</v>
      </c>
      <c r="AY677" t="s">
        <v>74</v>
      </c>
      <c r="AZ677" t="s">
        <v>74</v>
      </c>
      <c r="BA677" t="s">
        <v>74</v>
      </c>
      <c r="BB677">
        <v>2029</v>
      </c>
      <c r="BC677">
        <v>2033</v>
      </c>
      <c r="BD677" t="s">
        <v>74</v>
      </c>
      <c r="BE677" t="s">
        <v>9791</v>
      </c>
      <c r="BF677" t="str">
        <f>HYPERLINK("http://dx.doi.org/10.1016/j.saa.2003.10.021","http://dx.doi.org/10.1016/j.saa.2003.10.021")</f>
        <v>http://dx.doi.org/10.1016/j.saa.2003.10.021</v>
      </c>
      <c r="BG677" t="s">
        <v>74</v>
      </c>
      <c r="BH677" t="s">
        <v>74</v>
      </c>
      <c r="BI677">
        <v>5</v>
      </c>
      <c r="BJ677" t="s">
        <v>9792</v>
      </c>
      <c r="BK677" t="s">
        <v>139</v>
      </c>
      <c r="BL677" t="s">
        <v>9792</v>
      </c>
      <c r="BM677" t="s">
        <v>9793</v>
      </c>
      <c r="BN677">
        <v>15248982</v>
      </c>
      <c r="BO677" t="s">
        <v>74</v>
      </c>
      <c r="BP677" t="s">
        <v>74</v>
      </c>
      <c r="BQ677" t="s">
        <v>74</v>
      </c>
      <c r="BR677" t="s">
        <v>98</v>
      </c>
      <c r="BS677" t="s">
        <v>9794</v>
      </c>
      <c r="BT677" t="str">
        <f>HYPERLINK("https%3A%2F%2Fwww.webofscience.com%2Fwos%2Fwoscc%2Ffull-record%2FWOS:000223116400043","View Full Record in Web of Science")</f>
        <v>View Full Record in Web of Science</v>
      </c>
    </row>
    <row r="678" spans="1:72" x14ac:dyDescent="0.15">
      <c r="A678" t="s">
        <v>122</v>
      </c>
      <c r="B678" t="s">
        <v>9795</v>
      </c>
      <c r="C678" t="s">
        <v>74</v>
      </c>
      <c r="D678" t="s">
        <v>74</v>
      </c>
      <c r="E678" t="s">
        <v>74</v>
      </c>
      <c r="F678" t="s">
        <v>9795</v>
      </c>
      <c r="G678" t="s">
        <v>74</v>
      </c>
      <c r="H678" t="s">
        <v>74</v>
      </c>
      <c r="I678" t="s">
        <v>9796</v>
      </c>
      <c r="J678" t="s">
        <v>3830</v>
      </c>
      <c r="K678" t="s">
        <v>74</v>
      </c>
      <c r="L678" t="s">
        <v>74</v>
      </c>
      <c r="M678" t="s">
        <v>79</v>
      </c>
      <c r="N678" t="s">
        <v>126</v>
      </c>
      <c r="O678" t="s">
        <v>74</v>
      </c>
      <c r="P678" t="s">
        <v>74</v>
      </c>
      <c r="Q678" t="s">
        <v>74</v>
      </c>
      <c r="R678" t="s">
        <v>74</v>
      </c>
      <c r="S678" t="s">
        <v>74</v>
      </c>
      <c r="T678" t="s">
        <v>74</v>
      </c>
      <c r="U678" t="s">
        <v>9797</v>
      </c>
      <c r="V678" t="s">
        <v>9798</v>
      </c>
      <c r="W678" t="s">
        <v>9799</v>
      </c>
      <c r="X678" t="s">
        <v>9800</v>
      </c>
      <c r="Y678" t="s">
        <v>9801</v>
      </c>
      <c r="Z678" t="s">
        <v>9802</v>
      </c>
      <c r="AA678" t="s">
        <v>9803</v>
      </c>
      <c r="AB678" t="s">
        <v>9804</v>
      </c>
      <c r="AC678" t="s">
        <v>74</v>
      </c>
      <c r="AD678" t="s">
        <v>74</v>
      </c>
      <c r="AE678" t="s">
        <v>74</v>
      </c>
      <c r="AF678" t="s">
        <v>74</v>
      </c>
      <c r="AG678">
        <v>22</v>
      </c>
      <c r="AH678">
        <v>20</v>
      </c>
      <c r="AI678">
        <v>22</v>
      </c>
      <c r="AJ678">
        <v>1</v>
      </c>
      <c r="AK678">
        <v>13</v>
      </c>
      <c r="AL678" t="s">
        <v>1644</v>
      </c>
      <c r="AM678" t="s">
        <v>1645</v>
      </c>
      <c r="AN678" t="s">
        <v>1646</v>
      </c>
      <c r="AO678" t="s">
        <v>3839</v>
      </c>
      <c r="AP678" t="s">
        <v>74</v>
      </c>
      <c r="AQ678" t="s">
        <v>74</v>
      </c>
      <c r="AR678" t="s">
        <v>3840</v>
      </c>
      <c r="AS678" t="s">
        <v>3841</v>
      </c>
      <c r="AT678" t="s">
        <v>8496</v>
      </c>
      <c r="AU678">
        <v>2004</v>
      </c>
      <c r="AV678">
        <v>56</v>
      </c>
      <c r="AW678">
        <v>3</v>
      </c>
      <c r="AX678" t="s">
        <v>74</v>
      </c>
      <c r="AY678" t="s">
        <v>74</v>
      </c>
      <c r="AZ678" t="s">
        <v>74</v>
      </c>
      <c r="BA678" t="s">
        <v>74</v>
      </c>
      <c r="BB678">
        <v>262</v>
      </c>
      <c r="BC678">
        <v>275</v>
      </c>
      <c r="BD678" t="s">
        <v>74</v>
      </c>
      <c r="BE678" t="s">
        <v>9805</v>
      </c>
      <c r="BF678" t="str">
        <f>HYPERLINK("http://dx.doi.org/10.3402/tellusb.v56i3.16428","http://dx.doi.org/10.3402/tellusb.v56i3.16428")</f>
        <v>http://dx.doi.org/10.3402/tellusb.v56i3.16428</v>
      </c>
      <c r="BG678" t="s">
        <v>74</v>
      </c>
      <c r="BH678" t="s">
        <v>74</v>
      </c>
      <c r="BI678">
        <v>14</v>
      </c>
      <c r="BJ678" t="s">
        <v>291</v>
      </c>
      <c r="BK678" t="s">
        <v>139</v>
      </c>
      <c r="BL678" t="s">
        <v>291</v>
      </c>
      <c r="BM678" t="s">
        <v>9806</v>
      </c>
      <c r="BN678" t="s">
        <v>74</v>
      </c>
      <c r="BO678" t="s">
        <v>9807</v>
      </c>
      <c r="BP678" t="s">
        <v>74</v>
      </c>
      <c r="BQ678" t="s">
        <v>74</v>
      </c>
      <c r="BR678" t="s">
        <v>98</v>
      </c>
      <c r="BS678" t="s">
        <v>9808</v>
      </c>
      <c r="BT678" t="str">
        <f>HYPERLINK("https%3A%2F%2Fwww.webofscience.com%2Fwos%2Fwoscc%2Ffull-record%2FWOS:000222638100007","View Full Record in Web of Science")</f>
        <v>View Full Record in Web of Science</v>
      </c>
    </row>
    <row r="679" spans="1:72" x14ac:dyDescent="0.15">
      <c r="A679" t="s">
        <v>122</v>
      </c>
      <c r="B679" t="s">
        <v>9809</v>
      </c>
      <c r="C679" t="s">
        <v>74</v>
      </c>
      <c r="D679" t="s">
        <v>74</v>
      </c>
      <c r="E679" t="s">
        <v>74</v>
      </c>
      <c r="F679" t="s">
        <v>9809</v>
      </c>
      <c r="G679" t="s">
        <v>74</v>
      </c>
      <c r="H679" t="s">
        <v>74</v>
      </c>
      <c r="I679" t="s">
        <v>9810</v>
      </c>
      <c r="J679" t="s">
        <v>522</v>
      </c>
      <c r="K679" t="s">
        <v>74</v>
      </c>
      <c r="L679" t="s">
        <v>74</v>
      </c>
      <c r="M679" t="s">
        <v>79</v>
      </c>
      <c r="N679" t="s">
        <v>126</v>
      </c>
      <c r="O679" t="s">
        <v>74</v>
      </c>
      <c r="P679" t="s">
        <v>74</v>
      </c>
      <c r="Q679" t="s">
        <v>74</v>
      </c>
      <c r="R679" t="s">
        <v>74</v>
      </c>
      <c r="S679" t="s">
        <v>74</v>
      </c>
      <c r="T679" t="s">
        <v>9811</v>
      </c>
      <c r="U679" t="s">
        <v>9812</v>
      </c>
      <c r="V679" t="s">
        <v>9813</v>
      </c>
      <c r="W679" t="s">
        <v>9814</v>
      </c>
      <c r="X679" t="s">
        <v>2007</v>
      </c>
      <c r="Y679" t="s">
        <v>9815</v>
      </c>
      <c r="Z679" t="s">
        <v>9816</v>
      </c>
      <c r="AA679" t="s">
        <v>9817</v>
      </c>
      <c r="AB679" t="s">
        <v>9818</v>
      </c>
      <c r="AC679" t="s">
        <v>74</v>
      </c>
      <c r="AD679" t="s">
        <v>74</v>
      </c>
      <c r="AE679" t="s">
        <v>74</v>
      </c>
      <c r="AF679" t="s">
        <v>74</v>
      </c>
      <c r="AG679">
        <v>32</v>
      </c>
      <c r="AH679">
        <v>346</v>
      </c>
      <c r="AI679">
        <v>388</v>
      </c>
      <c r="AJ679">
        <v>4</v>
      </c>
      <c r="AK679">
        <v>47</v>
      </c>
      <c r="AL679" t="s">
        <v>531</v>
      </c>
      <c r="AM679" t="s">
        <v>532</v>
      </c>
      <c r="AN679" t="s">
        <v>533</v>
      </c>
      <c r="AO679" t="s">
        <v>534</v>
      </c>
      <c r="AP679" t="s">
        <v>535</v>
      </c>
      <c r="AQ679" t="s">
        <v>74</v>
      </c>
      <c r="AR679" t="s">
        <v>536</v>
      </c>
      <c r="AS679" t="s">
        <v>537</v>
      </c>
      <c r="AT679" t="s">
        <v>9819</v>
      </c>
      <c r="AU679">
        <v>2004</v>
      </c>
      <c r="AV679">
        <v>223</v>
      </c>
      <c r="AW679" t="s">
        <v>2537</v>
      </c>
      <c r="AX679" t="s">
        <v>74</v>
      </c>
      <c r="AY679" t="s">
        <v>74</v>
      </c>
      <c r="AZ679" t="s">
        <v>74</v>
      </c>
      <c r="BA679" t="s">
        <v>74</v>
      </c>
      <c r="BB679">
        <v>213</v>
      </c>
      <c r="BC679">
        <v>224</v>
      </c>
      <c r="BD679" t="s">
        <v>74</v>
      </c>
      <c r="BE679" t="s">
        <v>9820</v>
      </c>
      <c r="BF679" t="str">
        <f>HYPERLINK("http://dx.doi.org/10.1016/j.epsl.2004.04.011","http://dx.doi.org/10.1016/j.epsl.2004.04.011")</f>
        <v>http://dx.doi.org/10.1016/j.epsl.2004.04.011</v>
      </c>
      <c r="BG679" t="s">
        <v>74</v>
      </c>
      <c r="BH679" t="s">
        <v>74</v>
      </c>
      <c r="BI679">
        <v>12</v>
      </c>
      <c r="BJ679" t="s">
        <v>271</v>
      </c>
      <c r="BK679" t="s">
        <v>139</v>
      </c>
      <c r="BL679" t="s">
        <v>271</v>
      </c>
      <c r="BM679" t="s">
        <v>9821</v>
      </c>
      <c r="BN679" t="s">
        <v>74</v>
      </c>
      <c r="BO679" t="s">
        <v>988</v>
      </c>
      <c r="BP679" t="s">
        <v>74</v>
      </c>
      <c r="BQ679" t="s">
        <v>74</v>
      </c>
      <c r="BR679" t="s">
        <v>98</v>
      </c>
      <c r="BS679" t="s">
        <v>9822</v>
      </c>
      <c r="BT679" t="str">
        <f>HYPERLINK("https%3A%2F%2Fwww.webofscience.com%2Fwos%2Fwoscc%2Ffull-record%2FWOS:000222483800016","View Full Record in Web of Science")</f>
        <v>View Full Record in Web of Science</v>
      </c>
    </row>
    <row r="680" spans="1:72" x14ac:dyDescent="0.15">
      <c r="A680" t="s">
        <v>122</v>
      </c>
      <c r="B680" t="s">
        <v>9823</v>
      </c>
      <c r="C680" t="s">
        <v>74</v>
      </c>
      <c r="D680" t="s">
        <v>74</v>
      </c>
      <c r="E680" t="s">
        <v>74</v>
      </c>
      <c r="F680" t="s">
        <v>9823</v>
      </c>
      <c r="G680" t="s">
        <v>74</v>
      </c>
      <c r="H680" t="s">
        <v>74</v>
      </c>
      <c r="I680" t="s">
        <v>9824</v>
      </c>
      <c r="J680" t="s">
        <v>522</v>
      </c>
      <c r="K680" t="s">
        <v>74</v>
      </c>
      <c r="L680" t="s">
        <v>74</v>
      </c>
      <c r="M680" t="s">
        <v>79</v>
      </c>
      <c r="N680" t="s">
        <v>126</v>
      </c>
      <c r="O680" t="s">
        <v>74</v>
      </c>
      <c r="P680" t="s">
        <v>74</v>
      </c>
      <c r="Q680" t="s">
        <v>74</v>
      </c>
      <c r="R680" t="s">
        <v>74</v>
      </c>
      <c r="S680" t="s">
        <v>74</v>
      </c>
      <c r="T680" t="s">
        <v>9825</v>
      </c>
      <c r="U680" t="s">
        <v>9826</v>
      </c>
      <c r="V680" t="s">
        <v>9827</v>
      </c>
      <c r="W680" t="s">
        <v>9828</v>
      </c>
      <c r="X680" t="s">
        <v>9829</v>
      </c>
      <c r="Y680" t="s">
        <v>9830</v>
      </c>
      <c r="Z680" t="s">
        <v>9831</v>
      </c>
      <c r="AA680" t="s">
        <v>9832</v>
      </c>
      <c r="AB680" t="s">
        <v>9833</v>
      </c>
      <c r="AC680" t="s">
        <v>74</v>
      </c>
      <c r="AD680" t="s">
        <v>74</v>
      </c>
      <c r="AE680" t="s">
        <v>74</v>
      </c>
      <c r="AF680" t="s">
        <v>74</v>
      </c>
      <c r="AG680">
        <v>58</v>
      </c>
      <c r="AH680">
        <v>154</v>
      </c>
      <c r="AI680">
        <v>183</v>
      </c>
      <c r="AJ680">
        <v>4</v>
      </c>
      <c r="AK680">
        <v>54</v>
      </c>
      <c r="AL680" t="s">
        <v>562</v>
      </c>
      <c r="AM680" t="s">
        <v>532</v>
      </c>
      <c r="AN680" t="s">
        <v>563</v>
      </c>
      <c r="AO680" t="s">
        <v>534</v>
      </c>
      <c r="AP680" t="s">
        <v>74</v>
      </c>
      <c r="AQ680" t="s">
        <v>74</v>
      </c>
      <c r="AR680" t="s">
        <v>536</v>
      </c>
      <c r="AS680" t="s">
        <v>537</v>
      </c>
      <c r="AT680" t="s">
        <v>9819</v>
      </c>
      <c r="AU680">
        <v>2004</v>
      </c>
      <c r="AV680">
        <v>223</v>
      </c>
      <c r="AW680" t="s">
        <v>2537</v>
      </c>
      <c r="AX680" t="s">
        <v>74</v>
      </c>
      <c r="AY680" t="s">
        <v>74</v>
      </c>
      <c r="AZ680" t="s">
        <v>74</v>
      </c>
      <c r="BA680" t="s">
        <v>74</v>
      </c>
      <c r="BB680">
        <v>225</v>
      </c>
      <c r="BC680">
        <v>239</v>
      </c>
      <c r="BD680" t="s">
        <v>74</v>
      </c>
      <c r="BE680" t="s">
        <v>9834</v>
      </c>
      <c r="BF680" t="str">
        <f>HYPERLINK("http://dx.doi.org/10.1016/j.epsl.2004.04.014","http://dx.doi.org/10.1016/j.epsl.2004.04.014")</f>
        <v>http://dx.doi.org/10.1016/j.epsl.2004.04.014</v>
      </c>
      <c r="BG680" t="s">
        <v>74</v>
      </c>
      <c r="BH680" t="s">
        <v>74</v>
      </c>
      <c r="BI680">
        <v>15</v>
      </c>
      <c r="BJ680" t="s">
        <v>271</v>
      </c>
      <c r="BK680" t="s">
        <v>139</v>
      </c>
      <c r="BL680" t="s">
        <v>271</v>
      </c>
      <c r="BM680" t="s">
        <v>9821</v>
      </c>
      <c r="BN680" t="s">
        <v>74</v>
      </c>
      <c r="BO680" t="s">
        <v>74</v>
      </c>
      <c r="BP680" t="s">
        <v>74</v>
      </c>
      <c r="BQ680" t="s">
        <v>74</v>
      </c>
      <c r="BR680" t="s">
        <v>98</v>
      </c>
      <c r="BS680" t="s">
        <v>9835</v>
      </c>
      <c r="BT680" t="str">
        <f>HYPERLINK("https%3A%2F%2Fwww.webofscience.com%2Fwos%2Fwoscc%2Ffull-record%2FWOS:000222483800017","View Full Record in Web of Science")</f>
        <v>View Full Record in Web of Science</v>
      </c>
    </row>
    <row r="681" spans="1:72" x14ac:dyDescent="0.15">
      <c r="A681" t="s">
        <v>122</v>
      </c>
      <c r="B681" t="s">
        <v>9836</v>
      </c>
      <c r="C681" t="s">
        <v>74</v>
      </c>
      <c r="D681" t="s">
        <v>74</v>
      </c>
      <c r="E681" t="s">
        <v>74</v>
      </c>
      <c r="F681" t="s">
        <v>9836</v>
      </c>
      <c r="G681" t="s">
        <v>74</v>
      </c>
      <c r="H681" t="s">
        <v>74</v>
      </c>
      <c r="I681" t="s">
        <v>9837</v>
      </c>
      <c r="J681" t="s">
        <v>230</v>
      </c>
      <c r="K681" t="s">
        <v>74</v>
      </c>
      <c r="L681" t="s">
        <v>74</v>
      </c>
      <c r="M681" t="s">
        <v>79</v>
      </c>
      <c r="N681" t="s">
        <v>126</v>
      </c>
      <c r="O681" t="s">
        <v>74</v>
      </c>
      <c r="P681" t="s">
        <v>74</v>
      </c>
      <c r="Q681" t="s">
        <v>74</v>
      </c>
      <c r="R681" t="s">
        <v>74</v>
      </c>
      <c r="S681" t="s">
        <v>74</v>
      </c>
      <c r="T681" t="s">
        <v>74</v>
      </c>
      <c r="U681" t="s">
        <v>9838</v>
      </c>
      <c r="V681" t="s">
        <v>9839</v>
      </c>
      <c r="W681" t="s">
        <v>9840</v>
      </c>
      <c r="X681" t="s">
        <v>4167</v>
      </c>
      <c r="Y681" t="s">
        <v>9841</v>
      </c>
      <c r="Z681" t="s">
        <v>631</v>
      </c>
      <c r="AA681" t="s">
        <v>9842</v>
      </c>
      <c r="AB681" t="s">
        <v>9843</v>
      </c>
      <c r="AC681" t="s">
        <v>634</v>
      </c>
      <c r="AD681" t="s">
        <v>635</v>
      </c>
      <c r="AE681" t="s">
        <v>74</v>
      </c>
      <c r="AF681" t="s">
        <v>74</v>
      </c>
      <c r="AG681">
        <v>21</v>
      </c>
      <c r="AH681">
        <v>32</v>
      </c>
      <c r="AI681">
        <v>34</v>
      </c>
      <c r="AJ681">
        <v>1</v>
      </c>
      <c r="AK681">
        <v>13</v>
      </c>
      <c r="AL681" t="s">
        <v>239</v>
      </c>
      <c r="AM681" t="s">
        <v>240</v>
      </c>
      <c r="AN681" t="s">
        <v>241</v>
      </c>
      <c r="AO681" t="s">
        <v>242</v>
      </c>
      <c r="AP681" t="s">
        <v>341</v>
      </c>
      <c r="AQ681" t="s">
        <v>74</v>
      </c>
      <c r="AR681" t="s">
        <v>243</v>
      </c>
      <c r="AS681" t="s">
        <v>244</v>
      </c>
      <c r="AT681" t="s">
        <v>9819</v>
      </c>
      <c r="AU681">
        <v>2004</v>
      </c>
      <c r="AV681">
        <v>31</v>
      </c>
      <c r="AW681">
        <v>12</v>
      </c>
      <c r="AX681" t="s">
        <v>74</v>
      </c>
      <c r="AY681" t="s">
        <v>74</v>
      </c>
      <c r="AZ681" t="s">
        <v>74</v>
      </c>
      <c r="BA681" t="s">
        <v>74</v>
      </c>
      <c r="BB681" t="s">
        <v>74</v>
      </c>
      <c r="BC681" t="s">
        <v>74</v>
      </c>
      <c r="BD681" t="s">
        <v>9844</v>
      </c>
      <c r="BE681" t="s">
        <v>9845</v>
      </c>
      <c r="BF681" t="str">
        <f>HYPERLINK("http://dx.doi.org/10.1029/2004GL020290","http://dx.doi.org/10.1029/2004GL020290")</f>
        <v>http://dx.doi.org/10.1029/2004GL020290</v>
      </c>
      <c r="BG681" t="s">
        <v>74</v>
      </c>
      <c r="BH681" t="s">
        <v>74</v>
      </c>
      <c r="BI681">
        <v>4</v>
      </c>
      <c r="BJ681" t="s">
        <v>248</v>
      </c>
      <c r="BK681" t="s">
        <v>139</v>
      </c>
      <c r="BL681" t="s">
        <v>249</v>
      </c>
      <c r="BM681" t="s">
        <v>9846</v>
      </c>
      <c r="BN681" t="s">
        <v>74</v>
      </c>
      <c r="BO681" t="s">
        <v>207</v>
      </c>
      <c r="BP681" t="s">
        <v>74</v>
      </c>
      <c r="BQ681" t="s">
        <v>74</v>
      </c>
      <c r="BR681" t="s">
        <v>98</v>
      </c>
      <c r="BS681" t="s">
        <v>9847</v>
      </c>
      <c r="BT681" t="str">
        <f>HYPERLINK("https%3A%2F%2Fwww.webofscience.com%2Fwos%2Fwoscc%2Ffull-record%2FWOS:000222779500006","View Full Record in Web of Science")</f>
        <v>View Full Record in Web of Science</v>
      </c>
    </row>
    <row r="682" spans="1:72" x14ac:dyDescent="0.15">
      <c r="A682" t="s">
        <v>122</v>
      </c>
      <c r="B682" t="s">
        <v>9848</v>
      </c>
      <c r="C682" t="s">
        <v>74</v>
      </c>
      <c r="D682" t="s">
        <v>74</v>
      </c>
      <c r="E682" t="s">
        <v>74</v>
      </c>
      <c r="F682" t="s">
        <v>9848</v>
      </c>
      <c r="G682" t="s">
        <v>74</v>
      </c>
      <c r="H682" t="s">
        <v>74</v>
      </c>
      <c r="I682" t="s">
        <v>9849</v>
      </c>
      <c r="J682" t="s">
        <v>1411</v>
      </c>
      <c r="K682" t="s">
        <v>74</v>
      </c>
      <c r="L682" t="s">
        <v>74</v>
      </c>
      <c r="M682" t="s">
        <v>79</v>
      </c>
      <c r="N682" t="s">
        <v>126</v>
      </c>
      <c r="O682" t="s">
        <v>74</v>
      </c>
      <c r="P682" t="s">
        <v>74</v>
      </c>
      <c r="Q682" t="s">
        <v>74</v>
      </c>
      <c r="R682" t="s">
        <v>74</v>
      </c>
      <c r="S682" t="s">
        <v>74</v>
      </c>
      <c r="T682" t="s">
        <v>9850</v>
      </c>
      <c r="U682" t="s">
        <v>9851</v>
      </c>
      <c r="V682" t="s">
        <v>9852</v>
      </c>
      <c r="W682" t="s">
        <v>9853</v>
      </c>
      <c r="X682" t="s">
        <v>748</v>
      </c>
      <c r="Y682" t="s">
        <v>9854</v>
      </c>
      <c r="Z682" t="s">
        <v>9855</v>
      </c>
      <c r="AA682" t="s">
        <v>74</v>
      </c>
      <c r="AB682" t="s">
        <v>74</v>
      </c>
      <c r="AC682" t="s">
        <v>74</v>
      </c>
      <c r="AD682" t="s">
        <v>74</v>
      </c>
      <c r="AE682" t="s">
        <v>74</v>
      </c>
      <c r="AF682" t="s">
        <v>74</v>
      </c>
      <c r="AG682">
        <v>35</v>
      </c>
      <c r="AH682">
        <v>15</v>
      </c>
      <c r="AI682">
        <v>18</v>
      </c>
      <c r="AJ682">
        <v>0</v>
      </c>
      <c r="AK682">
        <v>10</v>
      </c>
      <c r="AL682" t="s">
        <v>1418</v>
      </c>
      <c r="AM682" t="s">
        <v>1419</v>
      </c>
      <c r="AN682" t="s">
        <v>1420</v>
      </c>
      <c r="AO682" t="s">
        <v>1421</v>
      </c>
      <c r="AP682" t="s">
        <v>1422</v>
      </c>
      <c r="AQ682" t="s">
        <v>74</v>
      </c>
      <c r="AR682" t="s">
        <v>1423</v>
      </c>
      <c r="AS682" t="s">
        <v>1424</v>
      </c>
      <c r="AT682" t="s">
        <v>9819</v>
      </c>
      <c r="AU682">
        <v>2004</v>
      </c>
      <c r="AV682">
        <v>24</v>
      </c>
      <c r="AW682">
        <v>8</v>
      </c>
      <c r="AX682" t="s">
        <v>74</v>
      </c>
      <c r="AY682" t="s">
        <v>74</v>
      </c>
      <c r="AZ682" t="s">
        <v>74</v>
      </c>
      <c r="BA682" t="s">
        <v>74</v>
      </c>
      <c r="BB682">
        <v>1023</v>
      </c>
      <c r="BC682">
        <v>1044</v>
      </c>
      <c r="BD682" t="s">
        <v>74</v>
      </c>
      <c r="BE682" t="s">
        <v>9856</v>
      </c>
      <c r="BF682" t="str">
        <f>HYPERLINK("http://dx.doi.org/10.1002/joc.1046","http://dx.doi.org/10.1002/joc.1046")</f>
        <v>http://dx.doi.org/10.1002/joc.1046</v>
      </c>
      <c r="BG682" t="s">
        <v>74</v>
      </c>
      <c r="BH682" t="s">
        <v>74</v>
      </c>
      <c r="BI682">
        <v>22</v>
      </c>
      <c r="BJ682" t="s">
        <v>291</v>
      </c>
      <c r="BK682" t="s">
        <v>139</v>
      </c>
      <c r="BL682" t="s">
        <v>291</v>
      </c>
      <c r="BM682" t="s">
        <v>9857</v>
      </c>
      <c r="BN682" t="s">
        <v>74</v>
      </c>
      <c r="BO682" t="s">
        <v>74</v>
      </c>
      <c r="BP682" t="s">
        <v>74</v>
      </c>
      <c r="BQ682" t="s">
        <v>74</v>
      </c>
      <c r="BR682" t="s">
        <v>98</v>
      </c>
      <c r="BS682" t="s">
        <v>9858</v>
      </c>
      <c r="BT682" t="str">
        <f>HYPERLINK("https%3A%2F%2Fwww.webofscience.com%2Fwos%2Fwoscc%2Ffull-record%2FWOS:000222344200008","View Full Record in Web of Science")</f>
        <v>View Full Record in Web of Science</v>
      </c>
    </row>
    <row r="683" spans="1:72" x14ac:dyDescent="0.15">
      <c r="A683" t="s">
        <v>122</v>
      </c>
      <c r="B683" t="s">
        <v>9859</v>
      </c>
      <c r="C683" t="s">
        <v>74</v>
      </c>
      <c r="D683" t="s">
        <v>74</v>
      </c>
      <c r="E683" t="s">
        <v>74</v>
      </c>
      <c r="F683" t="s">
        <v>9859</v>
      </c>
      <c r="G683" t="s">
        <v>74</v>
      </c>
      <c r="H683" t="s">
        <v>74</v>
      </c>
      <c r="I683" t="s">
        <v>9860</v>
      </c>
      <c r="J683" t="s">
        <v>3929</v>
      </c>
      <c r="K683" t="s">
        <v>74</v>
      </c>
      <c r="L683" t="s">
        <v>74</v>
      </c>
      <c r="M683" t="s">
        <v>79</v>
      </c>
      <c r="N683" t="s">
        <v>126</v>
      </c>
      <c r="O683" t="s">
        <v>74</v>
      </c>
      <c r="P683" t="s">
        <v>74</v>
      </c>
      <c r="Q683" t="s">
        <v>74</v>
      </c>
      <c r="R683" t="s">
        <v>74</v>
      </c>
      <c r="S683" t="s">
        <v>74</v>
      </c>
      <c r="T683" t="s">
        <v>9861</v>
      </c>
      <c r="U683" t="s">
        <v>9862</v>
      </c>
      <c r="V683" t="s">
        <v>9863</v>
      </c>
      <c r="W683" t="s">
        <v>9864</v>
      </c>
      <c r="X683" t="s">
        <v>9865</v>
      </c>
      <c r="Y683" t="s">
        <v>9866</v>
      </c>
      <c r="Z683" t="s">
        <v>9867</v>
      </c>
      <c r="AA683" t="s">
        <v>9868</v>
      </c>
      <c r="AB683" t="s">
        <v>9869</v>
      </c>
      <c r="AC683" t="s">
        <v>74</v>
      </c>
      <c r="AD683" t="s">
        <v>74</v>
      </c>
      <c r="AE683" t="s">
        <v>74</v>
      </c>
      <c r="AF683" t="s">
        <v>74</v>
      </c>
      <c r="AG683">
        <v>51</v>
      </c>
      <c r="AH683">
        <v>52</v>
      </c>
      <c r="AI683">
        <v>60</v>
      </c>
      <c r="AJ683">
        <v>3</v>
      </c>
      <c r="AK683">
        <v>53</v>
      </c>
      <c r="AL683" t="s">
        <v>531</v>
      </c>
      <c r="AM683" t="s">
        <v>532</v>
      </c>
      <c r="AN683" t="s">
        <v>533</v>
      </c>
      <c r="AO683" t="s">
        <v>3937</v>
      </c>
      <c r="AP683" t="s">
        <v>3938</v>
      </c>
      <c r="AQ683" t="s">
        <v>74</v>
      </c>
      <c r="AR683" t="s">
        <v>3939</v>
      </c>
      <c r="AS683" t="s">
        <v>3940</v>
      </c>
      <c r="AT683" t="s">
        <v>9819</v>
      </c>
      <c r="AU683">
        <v>2004</v>
      </c>
      <c r="AV683">
        <v>304</v>
      </c>
      <c r="AW683">
        <v>2</v>
      </c>
      <c r="AX683" t="s">
        <v>74</v>
      </c>
      <c r="AY683" t="s">
        <v>74</v>
      </c>
      <c r="AZ683" t="s">
        <v>74</v>
      </c>
      <c r="BA683" t="s">
        <v>74</v>
      </c>
      <c r="BB683">
        <v>203</v>
      </c>
      <c r="BC683">
        <v>224</v>
      </c>
      <c r="BD683" t="s">
        <v>74</v>
      </c>
      <c r="BE683" t="s">
        <v>9870</v>
      </c>
      <c r="BF683" t="str">
        <f>HYPERLINK("http://dx.doi.org/10.1016/j.jembe.2003.12.010","http://dx.doi.org/10.1016/j.jembe.2003.12.010")</f>
        <v>http://dx.doi.org/10.1016/j.jembe.2003.12.010</v>
      </c>
      <c r="BG683" t="s">
        <v>74</v>
      </c>
      <c r="BH683" t="s">
        <v>74</v>
      </c>
      <c r="BI683">
        <v>22</v>
      </c>
      <c r="BJ683" t="s">
        <v>3942</v>
      </c>
      <c r="BK683" t="s">
        <v>139</v>
      </c>
      <c r="BL683" t="s">
        <v>1797</v>
      </c>
      <c r="BM683" t="s">
        <v>9871</v>
      </c>
      <c r="BN683" t="s">
        <v>74</v>
      </c>
      <c r="BO683" t="s">
        <v>74</v>
      </c>
      <c r="BP683" t="s">
        <v>74</v>
      </c>
      <c r="BQ683" t="s">
        <v>74</v>
      </c>
      <c r="BR683" t="s">
        <v>98</v>
      </c>
      <c r="BS683" t="s">
        <v>9872</v>
      </c>
      <c r="BT683" t="str">
        <f>HYPERLINK("https%3A%2F%2Fwww.webofscience.com%2Fwos%2Fwoscc%2Ffull-record%2FWOS:000221572400004","View Full Record in Web of Science")</f>
        <v>View Full Record in Web of Science</v>
      </c>
    </row>
    <row r="684" spans="1:72" x14ac:dyDescent="0.15">
      <c r="A684" t="s">
        <v>122</v>
      </c>
      <c r="B684" t="s">
        <v>9873</v>
      </c>
      <c r="C684" t="s">
        <v>74</v>
      </c>
      <c r="D684" t="s">
        <v>74</v>
      </c>
      <c r="E684" t="s">
        <v>74</v>
      </c>
      <c r="F684" t="s">
        <v>9873</v>
      </c>
      <c r="G684" t="s">
        <v>74</v>
      </c>
      <c r="H684" t="s">
        <v>74</v>
      </c>
      <c r="I684" t="s">
        <v>9874</v>
      </c>
      <c r="J684" t="s">
        <v>580</v>
      </c>
      <c r="K684" t="s">
        <v>74</v>
      </c>
      <c r="L684" t="s">
        <v>74</v>
      </c>
      <c r="M684" t="s">
        <v>79</v>
      </c>
      <c r="N684" t="s">
        <v>126</v>
      </c>
      <c r="O684" t="s">
        <v>74</v>
      </c>
      <c r="P684" t="s">
        <v>74</v>
      </c>
      <c r="Q684" t="s">
        <v>74</v>
      </c>
      <c r="R684" t="s">
        <v>74</v>
      </c>
      <c r="S684" t="s">
        <v>74</v>
      </c>
      <c r="T684" t="s">
        <v>9875</v>
      </c>
      <c r="U684" t="s">
        <v>9876</v>
      </c>
      <c r="V684" t="s">
        <v>9877</v>
      </c>
      <c r="W684" t="s">
        <v>9878</v>
      </c>
      <c r="X684" t="s">
        <v>5316</v>
      </c>
      <c r="Y684" t="s">
        <v>9879</v>
      </c>
      <c r="Z684" t="s">
        <v>6476</v>
      </c>
      <c r="AA684" t="s">
        <v>74</v>
      </c>
      <c r="AB684" t="s">
        <v>6477</v>
      </c>
      <c r="AC684" t="s">
        <v>74</v>
      </c>
      <c r="AD684" t="s">
        <v>74</v>
      </c>
      <c r="AE684" t="s">
        <v>74</v>
      </c>
      <c r="AF684" t="s">
        <v>74</v>
      </c>
      <c r="AG684">
        <v>37</v>
      </c>
      <c r="AH684">
        <v>11</v>
      </c>
      <c r="AI684">
        <v>16</v>
      </c>
      <c r="AJ684">
        <v>1</v>
      </c>
      <c r="AK684">
        <v>3</v>
      </c>
      <c r="AL684" t="s">
        <v>531</v>
      </c>
      <c r="AM684" t="s">
        <v>532</v>
      </c>
      <c r="AN684" t="s">
        <v>533</v>
      </c>
      <c r="AO684" t="s">
        <v>591</v>
      </c>
      <c r="AP684" t="s">
        <v>592</v>
      </c>
      <c r="AQ684" t="s">
        <v>74</v>
      </c>
      <c r="AR684" t="s">
        <v>593</v>
      </c>
      <c r="AS684" t="s">
        <v>594</v>
      </c>
      <c r="AT684" t="s">
        <v>9819</v>
      </c>
      <c r="AU684">
        <v>2004</v>
      </c>
      <c r="AV684">
        <v>207</v>
      </c>
      <c r="AW684" t="s">
        <v>595</v>
      </c>
      <c r="AX684" t="s">
        <v>74</v>
      </c>
      <c r="AY684" t="s">
        <v>74</v>
      </c>
      <c r="AZ684" t="s">
        <v>74</v>
      </c>
      <c r="BA684" t="s">
        <v>74</v>
      </c>
      <c r="BB684">
        <v>1</v>
      </c>
      <c r="BC684">
        <v>15</v>
      </c>
      <c r="BD684" t="s">
        <v>74</v>
      </c>
      <c r="BE684" t="s">
        <v>9880</v>
      </c>
      <c r="BF684" t="str">
        <f>HYPERLINK("http://dx.doi.org/10.1016/j.margeo.2004.04.004","http://dx.doi.org/10.1016/j.margeo.2004.04.004")</f>
        <v>http://dx.doi.org/10.1016/j.margeo.2004.04.004</v>
      </c>
      <c r="BG684" t="s">
        <v>74</v>
      </c>
      <c r="BH684" t="s">
        <v>74</v>
      </c>
      <c r="BI684">
        <v>15</v>
      </c>
      <c r="BJ684" t="s">
        <v>597</v>
      </c>
      <c r="BK684" t="s">
        <v>139</v>
      </c>
      <c r="BL684" t="s">
        <v>598</v>
      </c>
      <c r="BM684" t="s">
        <v>9881</v>
      </c>
      <c r="BN684" t="s">
        <v>74</v>
      </c>
      <c r="BO684" t="s">
        <v>74</v>
      </c>
      <c r="BP684" t="s">
        <v>74</v>
      </c>
      <c r="BQ684" t="s">
        <v>74</v>
      </c>
      <c r="BR684" t="s">
        <v>98</v>
      </c>
      <c r="BS684" t="s">
        <v>9882</v>
      </c>
      <c r="BT684" t="str">
        <f>HYPERLINK("https%3A%2F%2Fwww.webofscience.com%2Fwos%2Fwoscc%2Ffull-record%2FWOS:000222568600001","View Full Record in Web of Science")</f>
        <v>View Full Record in Web of Science</v>
      </c>
    </row>
    <row r="685" spans="1:72" x14ac:dyDescent="0.15">
      <c r="A685" t="s">
        <v>122</v>
      </c>
      <c r="B685" t="s">
        <v>9883</v>
      </c>
      <c r="C685" t="s">
        <v>74</v>
      </c>
      <c r="D685" t="s">
        <v>74</v>
      </c>
      <c r="E685" t="s">
        <v>74</v>
      </c>
      <c r="F685" t="s">
        <v>9883</v>
      </c>
      <c r="G685" t="s">
        <v>74</v>
      </c>
      <c r="H685" t="s">
        <v>74</v>
      </c>
      <c r="I685" t="s">
        <v>9884</v>
      </c>
      <c r="J685" t="s">
        <v>580</v>
      </c>
      <c r="K685" t="s">
        <v>74</v>
      </c>
      <c r="L685" t="s">
        <v>74</v>
      </c>
      <c r="M685" t="s">
        <v>79</v>
      </c>
      <c r="N685" t="s">
        <v>126</v>
      </c>
      <c r="O685" t="s">
        <v>74</v>
      </c>
      <c r="P685" t="s">
        <v>74</v>
      </c>
      <c r="Q685" t="s">
        <v>74</v>
      </c>
      <c r="R685" t="s">
        <v>74</v>
      </c>
      <c r="S685" t="s">
        <v>74</v>
      </c>
      <c r="T685" t="s">
        <v>9885</v>
      </c>
      <c r="U685" t="s">
        <v>9886</v>
      </c>
      <c r="V685" t="s">
        <v>9887</v>
      </c>
      <c r="W685" t="s">
        <v>9888</v>
      </c>
      <c r="X685" t="s">
        <v>9889</v>
      </c>
      <c r="Y685" t="s">
        <v>9890</v>
      </c>
      <c r="Z685" t="s">
        <v>9891</v>
      </c>
      <c r="AA685" t="s">
        <v>9892</v>
      </c>
      <c r="AB685" t="s">
        <v>9893</v>
      </c>
      <c r="AC685" t="s">
        <v>74</v>
      </c>
      <c r="AD685" t="s">
        <v>74</v>
      </c>
      <c r="AE685" t="s">
        <v>74</v>
      </c>
      <c r="AF685" t="s">
        <v>74</v>
      </c>
      <c r="AG685">
        <v>33</v>
      </c>
      <c r="AH685">
        <v>102</v>
      </c>
      <c r="AI685">
        <v>112</v>
      </c>
      <c r="AJ685">
        <v>1</v>
      </c>
      <c r="AK685">
        <v>27</v>
      </c>
      <c r="AL685" t="s">
        <v>562</v>
      </c>
      <c r="AM685" t="s">
        <v>532</v>
      </c>
      <c r="AN685" t="s">
        <v>563</v>
      </c>
      <c r="AO685" t="s">
        <v>591</v>
      </c>
      <c r="AP685" t="s">
        <v>74</v>
      </c>
      <c r="AQ685" t="s">
        <v>74</v>
      </c>
      <c r="AR685" t="s">
        <v>593</v>
      </c>
      <c r="AS685" t="s">
        <v>594</v>
      </c>
      <c r="AT685" t="s">
        <v>9819</v>
      </c>
      <c r="AU685">
        <v>2004</v>
      </c>
      <c r="AV685">
        <v>207</v>
      </c>
      <c r="AW685" t="s">
        <v>595</v>
      </c>
      <c r="AX685" t="s">
        <v>74</v>
      </c>
      <c r="AY685" t="s">
        <v>74</v>
      </c>
      <c r="AZ685" t="s">
        <v>74</v>
      </c>
      <c r="BA685" t="s">
        <v>74</v>
      </c>
      <c r="BB685">
        <v>159</v>
      </c>
      <c r="BC685">
        <v>167</v>
      </c>
      <c r="BD685" t="s">
        <v>74</v>
      </c>
      <c r="BE685" t="s">
        <v>9894</v>
      </c>
      <c r="BF685" t="str">
        <f>HYPERLINK("http://dx.doi.org/10.1016/j.margeo.2004.03.006","http://dx.doi.org/10.1016/j.margeo.2004.03.006")</f>
        <v>http://dx.doi.org/10.1016/j.margeo.2004.03.006</v>
      </c>
      <c r="BG685" t="s">
        <v>74</v>
      </c>
      <c r="BH685" t="s">
        <v>74</v>
      </c>
      <c r="BI685">
        <v>9</v>
      </c>
      <c r="BJ685" t="s">
        <v>597</v>
      </c>
      <c r="BK685" t="s">
        <v>139</v>
      </c>
      <c r="BL685" t="s">
        <v>598</v>
      </c>
      <c r="BM685" t="s">
        <v>9881</v>
      </c>
      <c r="BN685" t="s">
        <v>74</v>
      </c>
      <c r="BO685" t="s">
        <v>74</v>
      </c>
      <c r="BP685" t="s">
        <v>74</v>
      </c>
      <c r="BQ685" t="s">
        <v>74</v>
      </c>
      <c r="BR685" t="s">
        <v>98</v>
      </c>
      <c r="BS685" t="s">
        <v>9895</v>
      </c>
      <c r="BT685" t="str">
        <f>HYPERLINK("https%3A%2F%2Fwww.webofscience.com%2Fwos%2Fwoscc%2Ffull-record%2FWOS:000222568600010","View Full Record in Web of Science")</f>
        <v>View Full Record in Web of Science</v>
      </c>
    </row>
    <row r="686" spans="1:72" x14ac:dyDescent="0.15">
      <c r="A686" t="s">
        <v>122</v>
      </c>
      <c r="B686" t="s">
        <v>9896</v>
      </c>
      <c r="C686" t="s">
        <v>74</v>
      </c>
      <c r="D686" t="s">
        <v>74</v>
      </c>
      <c r="E686" t="s">
        <v>74</v>
      </c>
      <c r="F686" t="s">
        <v>9896</v>
      </c>
      <c r="G686" t="s">
        <v>74</v>
      </c>
      <c r="H686" t="s">
        <v>74</v>
      </c>
      <c r="I686" t="s">
        <v>9897</v>
      </c>
      <c r="J686" t="s">
        <v>230</v>
      </c>
      <c r="K686" t="s">
        <v>74</v>
      </c>
      <c r="L686" t="s">
        <v>74</v>
      </c>
      <c r="M686" t="s">
        <v>79</v>
      </c>
      <c r="N686" t="s">
        <v>126</v>
      </c>
      <c r="O686" t="s">
        <v>74</v>
      </c>
      <c r="P686" t="s">
        <v>74</v>
      </c>
      <c r="Q686" t="s">
        <v>74</v>
      </c>
      <c r="R686" t="s">
        <v>74</v>
      </c>
      <c r="S686" t="s">
        <v>74</v>
      </c>
      <c r="T686" t="s">
        <v>74</v>
      </c>
      <c r="U686" t="s">
        <v>9898</v>
      </c>
      <c r="V686" t="s">
        <v>9899</v>
      </c>
      <c r="W686" t="s">
        <v>9900</v>
      </c>
      <c r="X686" t="s">
        <v>9901</v>
      </c>
      <c r="Y686" t="s">
        <v>9045</v>
      </c>
      <c r="Z686" t="s">
        <v>9902</v>
      </c>
      <c r="AA686" t="s">
        <v>9903</v>
      </c>
      <c r="AB686" t="s">
        <v>74</v>
      </c>
      <c r="AC686" t="s">
        <v>74</v>
      </c>
      <c r="AD686" t="s">
        <v>74</v>
      </c>
      <c r="AE686" t="s">
        <v>74</v>
      </c>
      <c r="AF686" t="s">
        <v>74</v>
      </c>
      <c r="AG686">
        <v>18</v>
      </c>
      <c r="AH686">
        <v>64</v>
      </c>
      <c r="AI686">
        <v>65</v>
      </c>
      <c r="AJ686">
        <v>0</v>
      </c>
      <c r="AK686">
        <v>5</v>
      </c>
      <c r="AL686" t="s">
        <v>239</v>
      </c>
      <c r="AM686" t="s">
        <v>240</v>
      </c>
      <c r="AN686" t="s">
        <v>241</v>
      </c>
      <c r="AO686" t="s">
        <v>242</v>
      </c>
      <c r="AP686" t="s">
        <v>341</v>
      </c>
      <c r="AQ686" t="s">
        <v>74</v>
      </c>
      <c r="AR686" t="s">
        <v>243</v>
      </c>
      <c r="AS686" t="s">
        <v>244</v>
      </c>
      <c r="AT686" t="s">
        <v>9904</v>
      </c>
      <c r="AU686">
        <v>2004</v>
      </c>
      <c r="AV686">
        <v>31</v>
      </c>
      <c r="AW686">
        <v>12</v>
      </c>
      <c r="AX686" t="s">
        <v>74</v>
      </c>
      <c r="AY686" t="s">
        <v>74</v>
      </c>
      <c r="AZ686" t="s">
        <v>74</v>
      </c>
      <c r="BA686" t="s">
        <v>74</v>
      </c>
      <c r="BB686" t="s">
        <v>74</v>
      </c>
      <c r="BC686" t="s">
        <v>74</v>
      </c>
      <c r="BD686" t="s">
        <v>9905</v>
      </c>
      <c r="BE686" t="s">
        <v>9906</v>
      </c>
      <c r="BF686" t="str">
        <f>HYPERLINK("http://dx.doi.org/10.1029/2004GL019562","http://dx.doi.org/10.1029/2004GL019562")</f>
        <v>http://dx.doi.org/10.1029/2004GL019562</v>
      </c>
      <c r="BG686" t="s">
        <v>74</v>
      </c>
      <c r="BH686" t="s">
        <v>74</v>
      </c>
      <c r="BI686">
        <v>4</v>
      </c>
      <c r="BJ686" t="s">
        <v>248</v>
      </c>
      <c r="BK686" t="s">
        <v>139</v>
      </c>
      <c r="BL686" t="s">
        <v>249</v>
      </c>
      <c r="BM686" t="s">
        <v>9907</v>
      </c>
      <c r="BN686" t="s">
        <v>74</v>
      </c>
      <c r="BO686" t="s">
        <v>273</v>
      </c>
      <c r="BP686" t="s">
        <v>74</v>
      </c>
      <c r="BQ686" t="s">
        <v>74</v>
      </c>
      <c r="BR686" t="s">
        <v>98</v>
      </c>
      <c r="BS686" t="s">
        <v>9908</v>
      </c>
      <c r="BT686" t="str">
        <f>HYPERLINK("https%3A%2F%2Fwww.webofscience.com%2Fwos%2Fwoscc%2Ffull-record%2FWOS:000222779400002","View Full Record in Web of Science")</f>
        <v>View Full Record in Web of Science</v>
      </c>
    </row>
    <row r="687" spans="1:72" x14ac:dyDescent="0.15">
      <c r="A687" t="s">
        <v>122</v>
      </c>
      <c r="B687" t="s">
        <v>9909</v>
      </c>
      <c r="C687" t="s">
        <v>74</v>
      </c>
      <c r="D687" t="s">
        <v>74</v>
      </c>
      <c r="E687" t="s">
        <v>74</v>
      </c>
      <c r="F687" t="s">
        <v>9909</v>
      </c>
      <c r="G687" t="s">
        <v>74</v>
      </c>
      <c r="H687" t="s">
        <v>74</v>
      </c>
      <c r="I687" t="s">
        <v>9910</v>
      </c>
      <c r="J687" t="s">
        <v>9911</v>
      </c>
      <c r="K687" t="s">
        <v>74</v>
      </c>
      <c r="L687" t="s">
        <v>74</v>
      </c>
      <c r="M687" t="s">
        <v>79</v>
      </c>
      <c r="N687" t="s">
        <v>126</v>
      </c>
      <c r="O687" t="s">
        <v>74</v>
      </c>
      <c r="P687" t="s">
        <v>74</v>
      </c>
      <c r="Q687" t="s">
        <v>74</v>
      </c>
      <c r="R687" t="s">
        <v>74</v>
      </c>
      <c r="S687" t="s">
        <v>74</v>
      </c>
      <c r="T687" t="s">
        <v>9912</v>
      </c>
      <c r="U687" t="s">
        <v>9913</v>
      </c>
      <c r="V687" t="s">
        <v>9914</v>
      </c>
      <c r="W687" t="s">
        <v>9915</v>
      </c>
      <c r="X687" t="s">
        <v>9916</v>
      </c>
      <c r="Y687" t="s">
        <v>9917</v>
      </c>
      <c r="Z687" t="s">
        <v>9918</v>
      </c>
      <c r="AA687" t="s">
        <v>9919</v>
      </c>
      <c r="AB687" t="s">
        <v>9920</v>
      </c>
      <c r="AC687" t="s">
        <v>74</v>
      </c>
      <c r="AD687" t="s">
        <v>74</v>
      </c>
      <c r="AE687" t="s">
        <v>74</v>
      </c>
      <c r="AF687" t="s">
        <v>74</v>
      </c>
      <c r="AG687">
        <v>31</v>
      </c>
      <c r="AH687">
        <v>111</v>
      </c>
      <c r="AI687">
        <v>124</v>
      </c>
      <c r="AJ687">
        <v>0</v>
      </c>
      <c r="AK687">
        <v>36</v>
      </c>
      <c r="AL687" t="s">
        <v>531</v>
      </c>
      <c r="AM687" t="s">
        <v>532</v>
      </c>
      <c r="AN687" t="s">
        <v>533</v>
      </c>
      <c r="AO687" t="s">
        <v>9921</v>
      </c>
      <c r="AP687" t="s">
        <v>9922</v>
      </c>
      <c r="AQ687" t="s">
        <v>74</v>
      </c>
      <c r="AR687" t="s">
        <v>9923</v>
      </c>
      <c r="AS687" t="s">
        <v>9924</v>
      </c>
      <c r="AT687" t="s">
        <v>9925</v>
      </c>
      <c r="AU687">
        <v>2004</v>
      </c>
      <c r="AV687">
        <v>207</v>
      </c>
      <c r="AW687" t="s">
        <v>2537</v>
      </c>
      <c r="AX687" t="s">
        <v>74</v>
      </c>
      <c r="AY687" t="s">
        <v>74</v>
      </c>
      <c r="AZ687" t="s">
        <v>74</v>
      </c>
      <c r="BA687" t="s">
        <v>74</v>
      </c>
      <c r="BB687">
        <v>1</v>
      </c>
      <c r="BC687">
        <v>12</v>
      </c>
      <c r="BD687" t="s">
        <v>74</v>
      </c>
      <c r="BE687" t="s">
        <v>9926</v>
      </c>
      <c r="BF687" t="str">
        <f>HYPERLINK("http://dx.doi.org/10.1016/j.chemgeo.2003.11.019","http://dx.doi.org/10.1016/j.chemgeo.2003.11.019")</f>
        <v>http://dx.doi.org/10.1016/j.chemgeo.2003.11.019</v>
      </c>
      <c r="BG687" t="s">
        <v>74</v>
      </c>
      <c r="BH687" t="s">
        <v>74</v>
      </c>
      <c r="BI687">
        <v>12</v>
      </c>
      <c r="BJ687" t="s">
        <v>271</v>
      </c>
      <c r="BK687" t="s">
        <v>139</v>
      </c>
      <c r="BL687" t="s">
        <v>271</v>
      </c>
      <c r="BM687" t="s">
        <v>9927</v>
      </c>
      <c r="BN687" t="s">
        <v>74</v>
      </c>
      <c r="BO687" t="s">
        <v>74</v>
      </c>
      <c r="BP687" t="s">
        <v>74</v>
      </c>
      <c r="BQ687" t="s">
        <v>74</v>
      </c>
      <c r="BR687" t="s">
        <v>98</v>
      </c>
      <c r="BS687" t="s">
        <v>9928</v>
      </c>
      <c r="BT687" t="str">
        <f>HYPERLINK("https%3A%2F%2Fwww.webofscience.com%2Fwos%2Fwoscc%2Ffull-record%2FWOS:000222096900001","View Full Record in Web of Science")</f>
        <v>View Full Record in Web of Science</v>
      </c>
    </row>
    <row r="688" spans="1:72" x14ac:dyDescent="0.15">
      <c r="A688" t="s">
        <v>122</v>
      </c>
      <c r="B688" t="s">
        <v>9929</v>
      </c>
      <c r="C688" t="s">
        <v>74</v>
      </c>
      <c r="D688" t="s">
        <v>74</v>
      </c>
      <c r="E688" t="s">
        <v>74</v>
      </c>
      <c r="F688" t="s">
        <v>9929</v>
      </c>
      <c r="G688" t="s">
        <v>74</v>
      </c>
      <c r="H688" t="s">
        <v>74</v>
      </c>
      <c r="I688" t="s">
        <v>9930</v>
      </c>
      <c r="J688" t="s">
        <v>3890</v>
      </c>
      <c r="K688" t="s">
        <v>74</v>
      </c>
      <c r="L688" t="s">
        <v>74</v>
      </c>
      <c r="M688" t="s">
        <v>79</v>
      </c>
      <c r="N688" t="s">
        <v>126</v>
      </c>
      <c r="O688" t="s">
        <v>74</v>
      </c>
      <c r="P688" t="s">
        <v>74</v>
      </c>
      <c r="Q688" t="s">
        <v>74</v>
      </c>
      <c r="R688" t="s">
        <v>74</v>
      </c>
      <c r="S688" t="s">
        <v>74</v>
      </c>
      <c r="T688" t="s">
        <v>74</v>
      </c>
      <c r="U688" t="s">
        <v>9931</v>
      </c>
      <c r="V688" t="s">
        <v>9932</v>
      </c>
      <c r="W688" t="s">
        <v>9933</v>
      </c>
      <c r="X688" t="s">
        <v>9934</v>
      </c>
      <c r="Y688" t="s">
        <v>9935</v>
      </c>
      <c r="Z688" t="s">
        <v>9936</v>
      </c>
      <c r="AA688" t="s">
        <v>9937</v>
      </c>
      <c r="AB688" t="s">
        <v>9938</v>
      </c>
      <c r="AC688" t="s">
        <v>74</v>
      </c>
      <c r="AD688" t="s">
        <v>74</v>
      </c>
      <c r="AE688" t="s">
        <v>74</v>
      </c>
      <c r="AF688" t="s">
        <v>74</v>
      </c>
      <c r="AG688">
        <v>29</v>
      </c>
      <c r="AH688">
        <v>258</v>
      </c>
      <c r="AI688">
        <v>281</v>
      </c>
      <c r="AJ688">
        <v>2</v>
      </c>
      <c r="AK688">
        <v>44</v>
      </c>
      <c r="AL688" t="s">
        <v>3893</v>
      </c>
      <c r="AM688" t="s">
        <v>240</v>
      </c>
      <c r="AN688" t="s">
        <v>3894</v>
      </c>
      <c r="AO688" t="s">
        <v>3895</v>
      </c>
      <c r="AP688" t="s">
        <v>3909</v>
      </c>
      <c r="AQ688" t="s">
        <v>74</v>
      </c>
      <c r="AR688" t="s">
        <v>3890</v>
      </c>
      <c r="AS688" t="s">
        <v>3896</v>
      </c>
      <c r="AT688" t="s">
        <v>9939</v>
      </c>
      <c r="AU688">
        <v>2004</v>
      </c>
      <c r="AV688">
        <v>304</v>
      </c>
      <c r="AW688">
        <v>5679</v>
      </c>
      <c r="AX688" t="s">
        <v>74</v>
      </c>
      <c r="AY688" t="s">
        <v>74</v>
      </c>
      <c r="AZ688" t="s">
        <v>74</v>
      </c>
      <c r="BA688" t="s">
        <v>74</v>
      </c>
      <c r="BB688">
        <v>1959</v>
      </c>
      <c r="BC688">
        <v>1962</v>
      </c>
      <c r="BD688" t="s">
        <v>74</v>
      </c>
      <c r="BE688" t="s">
        <v>9940</v>
      </c>
      <c r="BF688" t="str">
        <f>HYPERLINK("http://dx.doi.org/10.1126/science.1097863","http://dx.doi.org/10.1126/science.1097863")</f>
        <v>http://dx.doi.org/10.1126/science.1097863</v>
      </c>
      <c r="BG688" t="s">
        <v>74</v>
      </c>
      <c r="BH688" t="s">
        <v>74</v>
      </c>
      <c r="BI688">
        <v>4</v>
      </c>
      <c r="BJ688" t="s">
        <v>381</v>
      </c>
      <c r="BK688" t="s">
        <v>139</v>
      </c>
      <c r="BL688" t="s">
        <v>382</v>
      </c>
      <c r="BM688" t="s">
        <v>9941</v>
      </c>
      <c r="BN688">
        <v>15218147</v>
      </c>
      <c r="BO688" t="s">
        <v>988</v>
      </c>
      <c r="BP688" t="s">
        <v>74</v>
      </c>
      <c r="BQ688" t="s">
        <v>74</v>
      </c>
      <c r="BR688" t="s">
        <v>98</v>
      </c>
      <c r="BS688" t="s">
        <v>9942</v>
      </c>
      <c r="BT688" t="str">
        <f>HYPERLINK("https%3A%2F%2Fwww.webofscience.com%2Fwos%2Fwoscc%2Ffull-record%2FWOS:000222241600044","View Full Record in Web of Science")</f>
        <v>View Full Record in Web of Science</v>
      </c>
    </row>
    <row r="689" spans="1:72" x14ac:dyDescent="0.15">
      <c r="A689" t="s">
        <v>122</v>
      </c>
      <c r="B689" t="s">
        <v>9943</v>
      </c>
      <c r="C689" t="s">
        <v>74</v>
      </c>
      <c r="D689" t="s">
        <v>74</v>
      </c>
      <c r="E689" t="s">
        <v>74</v>
      </c>
      <c r="F689" t="s">
        <v>9943</v>
      </c>
      <c r="G689" t="s">
        <v>74</v>
      </c>
      <c r="H689" t="s">
        <v>74</v>
      </c>
      <c r="I689" t="s">
        <v>9944</v>
      </c>
      <c r="J689" t="s">
        <v>496</v>
      </c>
      <c r="K689" t="s">
        <v>74</v>
      </c>
      <c r="L689" t="s">
        <v>74</v>
      </c>
      <c r="M689" t="s">
        <v>79</v>
      </c>
      <c r="N689" t="s">
        <v>126</v>
      </c>
      <c r="O689" t="s">
        <v>74</v>
      </c>
      <c r="P689" t="s">
        <v>74</v>
      </c>
      <c r="Q689" t="s">
        <v>74</v>
      </c>
      <c r="R689" t="s">
        <v>74</v>
      </c>
      <c r="S689" t="s">
        <v>74</v>
      </c>
      <c r="T689" t="s">
        <v>9945</v>
      </c>
      <c r="U689" t="s">
        <v>9946</v>
      </c>
      <c r="V689" t="s">
        <v>9947</v>
      </c>
      <c r="W689" t="s">
        <v>9948</v>
      </c>
      <c r="X689" t="s">
        <v>9949</v>
      </c>
      <c r="Y689" t="s">
        <v>9950</v>
      </c>
      <c r="Z689" t="s">
        <v>9951</v>
      </c>
      <c r="AA689" t="s">
        <v>9952</v>
      </c>
      <c r="AB689" t="s">
        <v>9953</v>
      </c>
      <c r="AC689" t="s">
        <v>74</v>
      </c>
      <c r="AD689" t="s">
        <v>74</v>
      </c>
      <c r="AE689" t="s">
        <v>74</v>
      </c>
      <c r="AF689" t="s">
        <v>74</v>
      </c>
      <c r="AG689">
        <v>52</v>
      </c>
      <c r="AH689">
        <v>27</v>
      </c>
      <c r="AI689">
        <v>28</v>
      </c>
      <c r="AJ689">
        <v>0</v>
      </c>
      <c r="AK689">
        <v>14</v>
      </c>
      <c r="AL689" t="s">
        <v>506</v>
      </c>
      <c r="AM689" t="s">
        <v>507</v>
      </c>
      <c r="AN689" t="s">
        <v>508</v>
      </c>
      <c r="AO689" t="s">
        <v>509</v>
      </c>
      <c r="AP689" t="s">
        <v>510</v>
      </c>
      <c r="AQ689" t="s">
        <v>74</v>
      </c>
      <c r="AR689" t="s">
        <v>511</v>
      </c>
      <c r="AS689" t="s">
        <v>512</v>
      </c>
      <c r="AT689" t="s">
        <v>9954</v>
      </c>
      <c r="AU689">
        <v>2004</v>
      </c>
      <c r="AV689">
        <v>36</v>
      </c>
      <c r="AW689">
        <v>1</v>
      </c>
      <c r="AX689" t="s">
        <v>74</v>
      </c>
      <c r="AY689" t="s">
        <v>74</v>
      </c>
      <c r="AZ689" t="s">
        <v>74</v>
      </c>
      <c r="BA689" t="s">
        <v>74</v>
      </c>
      <c r="BB689">
        <v>41</v>
      </c>
      <c r="BC689">
        <v>52</v>
      </c>
      <c r="BD689" t="s">
        <v>74</v>
      </c>
      <c r="BE689" t="s">
        <v>9955</v>
      </c>
      <c r="BF689" t="str">
        <f>HYPERLINK("http://dx.doi.org/10.3354/ame036041","http://dx.doi.org/10.3354/ame036041")</f>
        <v>http://dx.doi.org/10.3354/ame036041</v>
      </c>
      <c r="BG689" t="s">
        <v>74</v>
      </c>
      <c r="BH689" t="s">
        <v>74</v>
      </c>
      <c r="BI689">
        <v>12</v>
      </c>
      <c r="BJ689" t="s">
        <v>515</v>
      </c>
      <c r="BK689" t="s">
        <v>139</v>
      </c>
      <c r="BL689" t="s">
        <v>516</v>
      </c>
      <c r="BM689" t="s">
        <v>9956</v>
      </c>
      <c r="BN689" t="s">
        <v>74</v>
      </c>
      <c r="BO689" t="s">
        <v>1866</v>
      </c>
      <c r="BP689" t="s">
        <v>74</v>
      </c>
      <c r="BQ689" t="s">
        <v>74</v>
      </c>
      <c r="BR689" t="s">
        <v>98</v>
      </c>
      <c r="BS689" t="s">
        <v>9957</v>
      </c>
      <c r="BT689" t="str">
        <f>HYPERLINK("https%3A%2F%2Fwww.webofscience.com%2Fwos%2Fwoscc%2Ffull-record%2FWOS:000222570600005","View Full Record in Web of Science")</f>
        <v>View Full Record in Web of Science</v>
      </c>
    </row>
    <row r="690" spans="1:72" x14ac:dyDescent="0.15">
      <c r="A690" t="s">
        <v>122</v>
      </c>
      <c r="B690" t="s">
        <v>9958</v>
      </c>
      <c r="C690" t="s">
        <v>74</v>
      </c>
      <c r="D690" t="s">
        <v>74</v>
      </c>
      <c r="E690" t="s">
        <v>74</v>
      </c>
      <c r="F690" t="s">
        <v>9958</v>
      </c>
      <c r="G690" t="s">
        <v>74</v>
      </c>
      <c r="H690" t="s">
        <v>74</v>
      </c>
      <c r="I690" t="s">
        <v>9959</v>
      </c>
      <c r="J690" t="s">
        <v>230</v>
      </c>
      <c r="K690" t="s">
        <v>74</v>
      </c>
      <c r="L690" t="s">
        <v>74</v>
      </c>
      <c r="M690" t="s">
        <v>79</v>
      </c>
      <c r="N690" t="s">
        <v>126</v>
      </c>
      <c r="O690" t="s">
        <v>74</v>
      </c>
      <c r="P690" t="s">
        <v>74</v>
      </c>
      <c r="Q690" t="s">
        <v>74</v>
      </c>
      <c r="R690" t="s">
        <v>74</v>
      </c>
      <c r="S690" t="s">
        <v>74</v>
      </c>
      <c r="T690" t="s">
        <v>74</v>
      </c>
      <c r="U690" t="s">
        <v>9960</v>
      </c>
      <c r="V690" t="s">
        <v>9961</v>
      </c>
      <c r="W690" t="s">
        <v>2323</v>
      </c>
      <c r="X690" t="s">
        <v>748</v>
      </c>
      <c r="Y690" t="s">
        <v>9962</v>
      </c>
      <c r="Z690" t="s">
        <v>2324</v>
      </c>
      <c r="AA690" t="s">
        <v>9963</v>
      </c>
      <c r="AB690" t="s">
        <v>9964</v>
      </c>
      <c r="AC690" t="s">
        <v>74</v>
      </c>
      <c r="AD690" t="s">
        <v>74</v>
      </c>
      <c r="AE690" t="s">
        <v>74</v>
      </c>
      <c r="AF690" t="s">
        <v>74</v>
      </c>
      <c r="AG690">
        <v>17</v>
      </c>
      <c r="AH690">
        <v>64</v>
      </c>
      <c r="AI690">
        <v>65</v>
      </c>
      <c r="AJ690">
        <v>0</v>
      </c>
      <c r="AK690">
        <v>6</v>
      </c>
      <c r="AL690" t="s">
        <v>239</v>
      </c>
      <c r="AM690" t="s">
        <v>240</v>
      </c>
      <c r="AN690" t="s">
        <v>241</v>
      </c>
      <c r="AO690" t="s">
        <v>242</v>
      </c>
      <c r="AP690" t="s">
        <v>74</v>
      </c>
      <c r="AQ690" t="s">
        <v>74</v>
      </c>
      <c r="AR690" t="s">
        <v>243</v>
      </c>
      <c r="AS690" t="s">
        <v>244</v>
      </c>
      <c r="AT690" t="s">
        <v>9954</v>
      </c>
      <c r="AU690">
        <v>2004</v>
      </c>
      <c r="AV690">
        <v>31</v>
      </c>
      <c r="AW690">
        <v>12</v>
      </c>
      <c r="AX690" t="s">
        <v>74</v>
      </c>
      <c r="AY690" t="s">
        <v>74</v>
      </c>
      <c r="AZ690" t="s">
        <v>74</v>
      </c>
      <c r="BA690" t="s">
        <v>74</v>
      </c>
      <c r="BB690" t="s">
        <v>74</v>
      </c>
      <c r="BC690" t="s">
        <v>74</v>
      </c>
      <c r="BD690" t="s">
        <v>9965</v>
      </c>
      <c r="BE690" t="s">
        <v>9966</v>
      </c>
      <c r="BF690" t="str">
        <f>HYPERLINK("http://dx.doi.org/10.1029/2004GL019989","http://dx.doi.org/10.1029/2004GL019989")</f>
        <v>http://dx.doi.org/10.1029/2004GL019989</v>
      </c>
      <c r="BG690" t="s">
        <v>74</v>
      </c>
      <c r="BH690" t="s">
        <v>74</v>
      </c>
      <c r="BI690">
        <v>4</v>
      </c>
      <c r="BJ690" t="s">
        <v>248</v>
      </c>
      <c r="BK690" t="s">
        <v>139</v>
      </c>
      <c r="BL690" t="s">
        <v>249</v>
      </c>
      <c r="BM690" t="s">
        <v>9967</v>
      </c>
      <c r="BN690" t="s">
        <v>74</v>
      </c>
      <c r="BO690" t="s">
        <v>74</v>
      </c>
      <c r="BP690" t="s">
        <v>74</v>
      </c>
      <c r="BQ690" t="s">
        <v>74</v>
      </c>
      <c r="BR690" t="s">
        <v>98</v>
      </c>
      <c r="BS690" t="s">
        <v>9968</v>
      </c>
      <c r="BT690" t="str">
        <f>HYPERLINK("https%3A%2F%2Fwww.webofscience.com%2Fwos%2Fwoscc%2Ffull-record%2FWOS:000222774600001","View Full Record in Web of Science")</f>
        <v>View Full Record in Web of Science</v>
      </c>
    </row>
    <row r="691" spans="1:72" x14ac:dyDescent="0.15">
      <c r="A691" t="s">
        <v>122</v>
      </c>
      <c r="B691" t="s">
        <v>9969</v>
      </c>
      <c r="C691" t="s">
        <v>74</v>
      </c>
      <c r="D691" t="s">
        <v>74</v>
      </c>
      <c r="E691" t="s">
        <v>74</v>
      </c>
      <c r="F691" t="s">
        <v>9969</v>
      </c>
      <c r="G691" t="s">
        <v>74</v>
      </c>
      <c r="H691" t="s">
        <v>74</v>
      </c>
      <c r="I691" t="s">
        <v>9970</v>
      </c>
      <c r="J691" t="s">
        <v>277</v>
      </c>
      <c r="K691" t="s">
        <v>74</v>
      </c>
      <c r="L691" t="s">
        <v>74</v>
      </c>
      <c r="M691" t="s">
        <v>79</v>
      </c>
      <c r="N691" t="s">
        <v>126</v>
      </c>
      <c r="O691" t="s">
        <v>74</v>
      </c>
      <c r="P691" t="s">
        <v>74</v>
      </c>
      <c r="Q691" t="s">
        <v>74</v>
      </c>
      <c r="R691" t="s">
        <v>74</v>
      </c>
      <c r="S691" t="s">
        <v>74</v>
      </c>
      <c r="T691" t="s">
        <v>9971</v>
      </c>
      <c r="U691" t="s">
        <v>9972</v>
      </c>
      <c r="V691" t="s">
        <v>9973</v>
      </c>
      <c r="W691" t="s">
        <v>9974</v>
      </c>
      <c r="X691" t="s">
        <v>9975</v>
      </c>
      <c r="Y691" t="s">
        <v>9976</v>
      </c>
      <c r="Z691" t="s">
        <v>9977</v>
      </c>
      <c r="AA691" t="s">
        <v>9978</v>
      </c>
      <c r="AB691" t="s">
        <v>9979</v>
      </c>
      <c r="AC691" t="s">
        <v>74</v>
      </c>
      <c r="AD691" t="s">
        <v>74</v>
      </c>
      <c r="AE691" t="s">
        <v>74</v>
      </c>
      <c r="AF691" t="s">
        <v>74</v>
      </c>
      <c r="AG691">
        <v>55</v>
      </c>
      <c r="AH691">
        <v>47</v>
      </c>
      <c r="AI691">
        <v>52</v>
      </c>
      <c r="AJ691">
        <v>1</v>
      </c>
      <c r="AK691">
        <v>24</v>
      </c>
      <c r="AL691" t="s">
        <v>239</v>
      </c>
      <c r="AM691" t="s">
        <v>240</v>
      </c>
      <c r="AN691" t="s">
        <v>241</v>
      </c>
      <c r="AO691" t="s">
        <v>284</v>
      </c>
      <c r="AP691" t="s">
        <v>285</v>
      </c>
      <c r="AQ691" t="s">
        <v>74</v>
      </c>
      <c r="AR691" t="s">
        <v>286</v>
      </c>
      <c r="AS691" t="s">
        <v>287</v>
      </c>
      <c r="AT691" t="s">
        <v>9954</v>
      </c>
      <c r="AU691">
        <v>2004</v>
      </c>
      <c r="AV691">
        <v>109</v>
      </c>
      <c r="AW691" t="s">
        <v>9980</v>
      </c>
      <c r="AX691" t="s">
        <v>74</v>
      </c>
      <c r="AY691" t="s">
        <v>74</v>
      </c>
      <c r="AZ691" t="s">
        <v>74</v>
      </c>
      <c r="BA691" t="s">
        <v>74</v>
      </c>
      <c r="BB691" t="s">
        <v>74</v>
      </c>
      <c r="BC691" t="s">
        <v>74</v>
      </c>
      <c r="BD691" t="s">
        <v>9981</v>
      </c>
      <c r="BE691" t="s">
        <v>9982</v>
      </c>
      <c r="BF691" t="str">
        <f>HYPERLINK("http://dx.doi.org/10.1029/2003JD004417","http://dx.doi.org/10.1029/2003JD004417")</f>
        <v>http://dx.doi.org/10.1029/2003JD004417</v>
      </c>
      <c r="BG691" t="s">
        <v>74</v>
      </c>
      <c r="BH691" t="s">
        <v>74</v>
      </c>
      <c r="BI691">
        <v>13</v>
      </c>
      <c r="BJ691" t="s">
        <v>291</v>
      </c>
      <c r="BK691" t="s">
        <v>139</v>
      </c>
      <c r="BL691" t="s">
        <v>291</v>
      </c>
      <c r="BM691" t="s">
        <v>9983</v>
      </c>
      <c r="BN691" t="s">
        <v>74</v>
      </c>
      <c r="BO691" t="s">
        <v>329</v>
      </c>
      <c r="BP691" t="s">
        <v>74</v>
      </c>
      <c r="BQ691" t="s">
        <v>74</v>
      </c>
      <c r="BR691" t="s">
        <v>98</v>
      </c>
      <c r="BS691" t="s">
        <v>9984</v>
      </c>
      <c r="BT691" t="str">
        <f>HYPERLINK("https%3A%2F%2Fwww.webofscience.com%2Fwos%2Fwoscc%2Ffull-record%2FWOS:000222775700001","View Full Record in Web of Science")</f>
        <v>View Full Record in Web of Science</v>
      </c>
    </row>
    <row r="692" spans="1:72" x14ac:dyDescent="0.15">
      <c r="A692" t="s">
        <v>122</v>
      </c>
      <c r="B692" t="s">
        <v>9985</v>
      </c>
      <c r="C692" t="s">
        <v>74</v>
      </c>
      <c r="D692" t="s">
        <v>74</v>
      </c>
      <c r="E692" t="s">
        <v>74</v>
      </c>
      <c r="F692" t="s">
        <v>9985</v>
      </c>
      <c r="G692" t="s">
        <v>74</v>
      </c>
      <c r="H692" t="s">
        <v>74</v>
      </c>
      <c r="I692" t="s">
        <v>9986</v>
      </c>
      <c r="J692" t="s">
        <v>8376</v>
      </c>
      <c r="K692" t="s">
        <v>74</v>
      </c>
      <c r="L692" t="s">
        <v>74</v>
      </c>
      <c r="M692" t="s">
        <v>79</v>
      </c>
      <c r="N692" t="s">
        <v>126</v>
      </c>
      <c r="O692" t="s">
        <v>74</v>
      </c>
      <c r="P692" t="s">
        <v>74</v>
      </c>
      <c r="Q692" t="s">
        <v>74</v>
      </c>
      <c r="R692" t="s">
        <v>74</v>
      </c>
      <c r="S692" t="s">
        <v>74</v>
      </c>
      <c r="T692" t="s">
        <v>9987</v>
      </c>
      <c r="U692" t="s">
        <v>9988</v>
      </c>
      <c r="V692" t="s">
        <v>9989</v>
      </c>
      <c r="W692" t="s">
        <v>5057</v>
      </c>
      <c r="X692" t="s">
        <v>5058</v>
      </c>
      <c r="Y692" t="s">
        <v>9990</v>
      </c>
      <c r="Z692" t="s">
        <v>9991</v>
      </c>
      <c r="AA692" t="s">
        <v>9992</v>
      </c>
      <c r="AB692" t="s">
        <v>9993</v>
      </c>
      <c r="AC692" t="s">
        <v>74</v>
      </c>
      <c r="AD692" t="s">
        <v>74</v>
      </c>
      <c r="AE692" t="s">
        <v>74</v>
      </c>
      <c r="AF692" t="s">
        <v>74</v>
      </c>
      <c r="AG692">
        <v>36</v>
      </c>
      <c r="AH692">
        <v>44</v>
      </c>
      <c r="AI692">
        <v>48</v>
      </c>
      <c r="AJ692">
        <v>1</v>
      </c>
      <c r="AK692">
        <v>20</v>
      </c>
      <c r="AL692" t="s">
        <v>239</v>
      </c>
      <c r="AM692" t="s">
        <v>240</v>
      </c>
      <c r="AN692" t="s">
        <v>241</v>
      </c>
      <c r="AO692" t="s">
        <v>8386</v>
      </c>
      <c r="AP692" t="s">
        <v>74</v>
      </c>
      <c r="AQ692" t="s">
        <v>74</v>
      </c>
      <c r="AR692" t="s">
        <v>8388</v>
      </c>
      <c r="AS692" t="s">
        <v>8389</v>
      </c>
      <c r="AT692" t="s">
        <v>9994</v>
      </c>
      <c r="AU692">
        <v>2004</v>
      </c>
      <c r="AV692">
        <v>18</v>
      </c>
      <c r="AW692">
        <v>2</v>
      </c>
      <c r="AX692" t="s">
        <v>74</v>
      </c>
      <c r="AY692" t="s">
        <v>74</v>
      </c>
      <c r="AZ692" t="s">
        <v>74</v>
      </c>
      <c r="BA692" t="s">
        <v>74</v>
      </c>
      <c r="BB692" t="s">
        <v>74</v>
      </c>
      <c r="BC692" t="s">
        <v>74</v>
      </c>
      <c r="BD692" t="s">
        <v>9995</v>
      </c>
      <c r="BE692" t="s">
        <v>9996</v>
      </c>
      <c r="BF692" t="str">
        <f>HYPERLINK("http://dx.doi.org/10.1029/2003GB002103","http://dx.doi.org/10.1029/2003GB002103")</f>
        <v>http://dx.doi.org/10.1029/2003GB002103</v>
      </c>
      <c r="BG692" t="s">
        <v>74</v>
      </c>
      <c r="BH692" t="s">
        <v>74</v>
      </c>
      <c r="BI692">
        <v>17</v>
      </c>
      <c r="BJ692" t="s">
        <v>8393</v>
      </c>
      <c r="BK692" t="s">
        <v>139</v>
      </c>
      <c r="BL692" t="s">
        <v>8394</v>
      </c>
      <c r="BM692" t="s">
        <v>9997</v>
      </c>
      <c r="BN692" t="s">
        <v>74</v>
      </c>
      <c r="BO692" t="s">
        <v>74</v>
      </c>
      <c r="BP692" t="s">
        <v>74</v>
      </c>
      <c r="BQ692" t="s">
        <v>74</v>
      </c>
      <c r="BR692" t="s">
        <v>98</v>
      </c>
      <c r="BS692" t="s">
        <v>9998</v>
      </c>
      <c r="BT692" t="str">
        <f>HYPERLINK("https%3A%2F%2Fwww.webofscience.com%2Fwos%2Fwoscc%2Ffull-record%2FWOS:000222775200001","View Full Record in Web of Science")</f>
        <v>View Full Record in Web of Science</v>
      </c>
    </row>
    <row r="693" spans="1:72" x14ac:dyDescent="0.15">
      <c r="A693" t="s">
        <v>122</v>
      </c>
      <c r="B693" t="s">
        <v>9999</v>
      </c>
      <c r="C693" t="s">
        <v>74</v>
      </c>
      <c r="D693" t="s">
        <v>74</v>
      </c>
      <c r="E693" t="s">
        <v>74</v>
      </c>
      <c r="F693" t="s">
        <v>9999</v>
      </c>
      <c r="G693" t="s">
        <v>74</v>
      </c>
      <c r="H693" t="s">
        <v>74</v>
      </c>
      <c r="I693" t="s">
        <v>10000</v>
      </c>
      <c r="J693" t="s">
        <v>311</v>
      </c>
      <c r="K693" t="s">
        <v>74</v>
      </c>
      <c r="L693" t="s">
        <v>74</v>
      </c>
      <c r="M693" t="s">
        <v>79</v>
      </c>
      <c r="N693" t="s">
        <v>126</v>
      </c>
      <c r="O693" t="s">
        <v>74</v>
      </c>
      <c r="P693" t="s">
        <v>74</v>
      </c>
      <c r="Q693" t="s">
        <v>74</v>
      </c>
      <c r="R693" t="s">
        <v>74</v>
      </c>
      <c r="S693" t="s">
        <v>74</v>
      </c>
      <c r="T693" t="s">
        <v>10001</v>
      </c>
      <c r="U693" t="s">
        <v>10002</v>
      </c>
      <c r="V693" t="s">
        <v>10003</v>
      </c>
      <c r="W693" t="s">
        <v>10004</v>
      </c>
      <c r="X693" t="s">
        <v>10005</v>
      </c>
      <c r="Y693" t="s">
        <v>10006</v>
      </c>
      <c r="Z693" t="s">
        <v>10007</v>
      </c>
      <c r="AA693" t="s">
        <v>10008</v>
      </c>
      <c r="AB693" t="s">
        <v>10009</v>
      </c>
      <c r="AC693" t="s">
        <v>74</v>
      </c>
      <c r="AD693" t="s">
        <v>74</v>
      </c>
      <c r="AE693" t="s">
        <v>74</v>
      </c>
      <c r="AF693" t="s">
        <v>74</v>
      </c>
      <c r="AG693">
        <v>77</v>
      </c>
      <c r="AH693">
        <v>50</v>
      </c>
      <c r="AI693">
        <v>53</v>
      </c>
      <c r="AJ693">
        <v>0</v>
      </c>
      <c r="AK693">
        <v>10</v>
      </c>
      <c r="AL693" t="s">
        <v>239</v>
      </c>
      <c r="AM693" t="s">
        <v>240</v>
      </c>
      <c r="AN693" t="s">
        <v>241</v>
      </c>
      <c r="AO693" t="s">
        <v>321</v>
      </c>
      <c r="AP693" t="s">
        <v>74</v>
      </c>
      <c r="AQ693" t="s">
        <v>74</v>
      </c>
      <c r="AR693" t="s">
        <v>311</v>
      </c>
      <c r="AS693" t="s">
        <v>322</v>
      </c>
      <c r="AT693" t="s">
        <v>9994</v>
      </c>
      <c r="AU693">
        <v>2004</v>
      </c>
      <c r="AV693">
        <v>19</v>
      </c>
      <c r="AW693">
        <v>2</v>
      </c>
      <c r="AX693" t="s">
        <v>74</v>
      </c>
      <c r="AY693" t="s">
        <v>74</v>
      </c>
      <c r="AZ693" t="s">
        <v>74</v>
      </c>
      <c r="BA693" t="s">
        <v>74</v>
      </c>
      <c r="BB693" t="s">
        <v>74</v>
      </c>
      <c r="BC693" t="s">
        <v>74</v>
      </c>
      <c r="BD693" t="s">
        <v>10010</v>
      </c>
      <c r="BE693" t="s">
        <v>10011</v>
      </c>
      <c r="BF693" t="str">
        <f>HYPERLINK("http://dx.doi.org/10.1029/2004PA001003","http://dx.doi.org/10.1029/2004PA001003")</f>
        <v>http://dx.doi.org/10.1029/2004PA001003</v>
      </c>
      <c r="BG693" t="s">
        <v>74</v>
      </c>
      <c r="BH693" t="s">
        <v>74</v>
      </c>
      <c r="BI693">
        <v>15</v>
      </c>
      <c r="BJ693" t="s">
        <v>326</v>
      </c>
      <c r="BK693" t="s">
        <v>139</v>
      </c>
      <c r="BL693" t="s">
        <v>327</v>
      </c>
      <c r="BM693" t="s">
        <v>10012</v>
      </c>
      <c r="BN693" t="s">
        <v>74</v>
      </c>
      <c r="BO693" t="s">
        <v>273</v>
      </c>
      <c r="BP693" t="s">
        <v>74</v>
      </c>
      <c r="BQ693" t="s">
        <v>74</v>
      </c>
      <c r="BR693" t="s">
        <v>98</v>
      </c>
      <c r="BS693" t="s">
        <v>10013</v>
      </c>
      <c r="BT693" t="str">
        <f>HYPERLINK("https%3A%2F%2Fwww.webofscience.com%2Fwos%2Fwoscc%2Ffull-record%2FWOS:000222778300003","View Full Record in Web of Science")</f>
        <v>View Full Record in Web of Science</v>
      </c>
    </row>
    <row r="694" spans="1:72" x14ac:dyDescent="0.15">
      <c r="A694" t="s">
        <v>122</v>
      </c>
      <c r="B694" t="s">
        <v>10014</v>
      </c>
      <c r="C694" t="s">
        <v>74</v>
      </c>
      <c r="D694" t="s">
        <v>74</v>
      </c>
      <c r="E694" t="s">
        <v>74</v>
      </c>
      <c r="F694" t="s">
        <v>10014</v>
      </c>
      <c r="G694" t="s">
        <v>74</v>
      </c>
      <c r="H694" t="s">
        <v>74</v>
      </c>
      <c r="I694" t="s">
        <v>10015</v>
      </c>
      <c r="J694" t="s">
        <v>10016</v>
      </c>
      <c r="K694" t="s">
        <v>74</v>
      </c>
      <c r="L694" t="s">
        <v>74</v>
      </c>
      <c r="M694" t="s">
        <v>79</v>
      </c>
      <c r="N694" t="s">
        <v>126</v>
      </c>
      <c r="O694" t="s">
        <v>74</v>
      </c>
      <c r="P694" t="s">
        <v>74</v>
      </c>
      <c r="Q694" t="s">
        <v>74</v>
      </c>
      <c r="R694" t="s">
        <v>74</v>
      </c>
      <c r="S694" t="s">
        <v>74</v>
      </c>
      <c r="T694" t="s">
        <v>74</v>
      </c>
      <c r="U694" t="s">
        <v>10017</v>
      </c>
      <c r="V694" t="s">
        <v>10018</v>
      </c>
      <c r="W694" t="s">
        <v>10019</v>
      </c>
      <c r="X694" t="s">
        <v>10020</v>
      </c>
      <c r="Y694" t="s">
        <v>10021</v>
      </c>
      <c r="Z694" t="s">
        <v>10022</v>
      </c>
      <c r="AA694" t="s">
        <v>10023</v>
      </c>
      <c r="AB694" t="s">
        <v>10024</v>
      </c>
      <c r="AC694" t="s">
        <v>74</v>
      </c>
      <c r="AD694" t="s">
        <v>74</v>
      </c>
      <c r="AE694" t="s">
        <v>74</v>
      </c>
      <c r="AF694" t="s">
        <v>74</v>
      </c>
      <c r="AG694">
        <v>27</v>
      </c>
      <c r="AH694">
        <v>45</v>
      </c>
      <c r="AI694">
        <v>51</v>
      </c>
      <c r="AJ694">
        <v>0</v>
      </c>
      <c r="AK694">
        <v>26</v>
      </c>
      <c r="AL694" t="s">
        <v>10025</v>
      </c>
      <c r="AM694" t="s">
        <v>9319</v>
      </c>
      <c r="AN694" t="s">
        <v>10026</v>
      </c>
      <c r="AO694" t="s">
        <v>10027</v>
      </c>
      <c r="AP694" t="s">
        <v>74</v>
      </c>
      <c r="AQ694" t="s">
        <v>74</v>
      </c>
      <c r="AR694" t="s">
        <v>10028</v>
      </c>
      <c r="AS694" t="s">
        <v>10029</v>
      </c>
      <c r="AT694" t="s">
        <v>10030</v>
      </c>
      <c r="AU694">
        <v>2004</v>
      </c>
      <c r="AV694">
        <v>120</v>
      </c>
      <c r="AW694">
        <v>24</v>
      </c>
      <c r="AX694" t="s">
        <v>74</v>
      </c>
      <c r="AY694" t="s">
        <v>74</v>
      </c>
      <c r="AZ694" t="s">
        <v>74</v>
      </c>
      <c r="BA694" t="s">
        <v>74</v>
      </c>
      <c r="BB694">
        <v>11376</v>
      </c>
      <c r="BC694">
        <v>11379</v>
      </c>
      <c r="BD694" t="s">
        <v>74</v>
      </c>
      <c r="BE694" t="s">
        <v>10031</v>
      </c>
      <c r="BF694" t="str">
        <f>HYPERLINK("http://dx.doi.org/10.1063/1.1765099","http://dx.doi.org/10.1063/1.1765099")</f>
        <v>http://dx.doi.org/10.1063/1.1765099</v>
      </c>
      <c r="BG694" t="s">
        <v>74</v>
      </c>
      <c r="BH694" t="s">
        <v>74</v>
      </c>
      <c r="BI694">
        <v>4</v>
      </c>
      <c r="BJ694" t="s">
        <v>3601</v>
      </c>
      <c r="BK694" t="s">
        <v>139</v>
      </c>
      <c r="BL694" t="s">
        <v>3602</v>
      </c>
      <c r="BM694" t="s">
        <v>10032</v>
      </c>
      <c r="BN694">
        <v>15268170</v>
      </c>
      <c r="BO694" t="s">
        <v>74</v>
      </c>
      <c r="BP694" t="s">
        <v>74</v>
      </c>
      <c r="BQ694" t="s">
        <v>74</v>
      </c>
      <c r="BR694" t="s">
        <v>98</v>
      </c>
      <c r="BS694" t="s">
        <v>10033</v>
      </c>
      <c r="BT694" t="str">
        <f>HYPERLINK("https%3A%2F%2Fwww.webofscience.com%2Fwos%2Fwoscc%2Ffull-record%2FWOS:000221907800008","View Full Record in Web of Science")</f>
        <v>View Full Record in Web of Science</v>
      </c>
    </row>
    <row r="695" spans="1:72" x14ac:dyDescent="0.15">
      <c r="A695" t="s">
        <v>122</v>
      </c>
      <c r="B695" t="s">
        <v>10034</v>
      </c>
      <c r="C695" t="s">
        <v>74</v>
      </c>
      <c r="D695" t="s">
        <v>74</v>
      </c>
      <c r="E695" t="s">
        <v>74</v>
      </c>
      <c r="F695" t="s">
        <v>10034</v>
      </c>
      <c r="G695" t="s">
        <v>74</v>
      </c>
      <c r="H695" t="s">
        <v>74</v>
      </c>
      <c r="I695" t="s">
        <v>10035</v>
      </c>
      <c r="J695" t="s">
        <v>10016</v>
      </c>
      <c r="K695" t="s">
        <v>74</v>
      </c>
      <c r="L695" t="s">
        <v>74</v>
      </c>
      <c r="M695" t="s">
        <v>79</v>
      </c>
      <c r="N695" t="s">
        <v>126</v>
      </c>
      <c r="O695" t="s">
        <v>74</v>
      </c>
      <c r="P695" t="s">
        <v>74</v>
      </c>
      <c r="Q695" t="s">
        <v>74</v>
      </c>
      <c r="R695" t="s">
        <v>74</v>
      </c>
      <c r="S695" t="s">
        <v>74</v>
      </c>
      <c r="T695" t="s">
        <v>74</v>
      </c>
      <c r="U695" t="s">
        <v>10036</v>
      </c>
      <c r="V695" t="s">
        <v>10037</v>
      </c>
      <c r="W695" t="s">
        <v>10038</v>
      </c>
      <c r="X695" t="s">
        <v>10039</v>
      </c>
      <c r="Y695" t="s">
        <v>10040</v>
      </c>
      <c r="Z695" t="s">
        <v>10041</v>
      </c>
      <c r="AA695" t="s">
        <v>74</v>
      </c>
      <c r="AB695" t="s">
        <v>74</v>
      </c>
      <c r="AC695" t="s">
        <v>74</v>
      </c>
      <c r="AD695" t="s">
        <v>74</v>
      </c>
      <c r="AE695" t="s">
        <v>74</v>
      </c>
      <c r="AF695" t="s">
        <v>74</v>
      </c>
      <c r="AG695">
        <v>56</v>
      </c>
      <c r="AH695">
        <v>7</v>
      </c>
      <c r="AI695">
        <v>7</v>
      </c>
      <c r="AJ695">
        <v>0</v>
      </c>
      <c r="AK695">
        <v>5</v>
      </c>
      <c r="AL695" t="s">
        <v>10025</v>
      </c>
      <c r="AM695" t="s">
        <v>9319</v>
      </c>
      <c r="AN695" t="s">
        <v>10042</v>
      </c>
      <c r="AO695" t="s">
        <v>10027</v>
      </c>
      <c r="AP695" t="s">
        <v>10043</v>
      </c>
      <c r="AQ695" t="s">
        <v>74</v>
      </c>
      <c r="AR695" t="s">
        <v>10028</v>
      </c>
      <c r="AS695" t="s">
        <v>10029</v>
      </c>
      <c r="AT695" t="s">
        <v>10030</v>
      </c>
      <c r="AU695">
        <v>2004</v>
      </c>
      <c r="AV695">
        <v>120</v>
      </c>
      <c r="AW695">
        <v>24</v>
      </c>
      <c r="AX695" t="s">
        <v>74</v>
      </c>
      <c r="AY695" t="s">
        <v>74</v>
      </c>
      <c r="AZ695" t="s">
        <v>74</v>
      </c>
      <c r="BA695" t="s">
        <v>74</v>
      </c>
      <c r="BB695">
        <v>11796</v>
      </c>
      <c r="BC695">
        <v>11803</v>
      </c>
      <c r="BD695" t="s">
        <v>74</v>
      </c>
      <c r="BE695" t="s">
        <v>10044</v>
      </c>
      <c r="BF695" t="str">
        <f>HYPERLINK("http://dx.doi.org/10.1063/1.1753259","http://dx.doi.org/10.1063/1.1753259")</f>
        <v>http://dx.doi.org/10.1063/1.1753259</v>
      </c>
      <c r="BG695" t="s">
        <v>74</v>
      </c>
      <c r="BH695" t="s">
        <v>74</v>
      </c>
      <c r="BI695">
        <v>8</v>
      </c>
      <c r="BJ695" t="s">
        <v>3601</v>
      </c>
      <c r="BK695" t="s">
        <v>139</v>
      </c>
      <c r="BL695" t="s">
        <v>3602</v>
      </c>
      <c r="BM695" t="s">
        <v>10032</v>
      </c>
      <c r="BN695">
        <v>15268214</v>
      </c>
      <c r="BO695" t="s">
        <v>74</v>
      </c>
      <c r="BP695" t="s">
        <v>74</v>
      </c>
      <c r="BQ695" t="s">
        <v>74</v>
      </c>
      <c r="BR695" t="s">
        <v>98</v>
      </c>
      <c r="BS695" t="s">
        <v>10045</v>
      </c>
      <c r="BT695" t="str">
        <f>HYPERLINK("https%3A%2F%2Fwww.webofscience.com%2Fwos%2Fwoscc%2Ffull-record%2FWOS:000221907800052","View Full Record in Web of Science")</f>
        <v>View Full Record in Web of Science</v>
      </c>
    </row>
    <row r="696" spans="1:72" x14ac:dyDescent="0.15">
      <c r="A696" t="s">
        <v>122</v>
      </c>
      <c r="B696" t="s">
        <v>10046</v>
      </c>
      <c r="C696" t="s">
        <v>74</v>
      </c>
      <c r="D696" t="s">
        <v>74</v>
      </c>
      <c r="E696" t="s">
        <v>74</v>
      </c>
      <c r="F696" t="s">
        <v>10046</v>
      </c>
      <c r="G696" t="s">
        <v>74</v>
      </c>
      <c r="H696" t="s">
        <v>74</v>
      </c>
      <c r="I696" t="s">
        <v>10047</v>
      </c>
      <c r="J696" t="s">
        <v>790</v>
      </c>
      <c r="K696" t="s">
        <v>74</v>
      </c>
      <c r="L696" t="s">
        <v>74</v>
      </c>
      <c r="M696" t="s">
        <v>79</v>
      </c>
      <c r="N696" t="s">
        <v>126</v>
      </c>
      <c r="O696" t="s">
        <v>74</v>
      </c>
      <c r="P696" t="s">
        <v>74</v>
      </c>
      <c r="Q696" t="s">
        <v>74</v>
      </c>
      <c r="R696" t="s">
        <v>74</v>
      </c>
      <c r="S696" t="s">
        <v>74</v>
      </c>
      <c r="T696" t="s">
        <v>10048</v>
      </c>
      <c r="U696" t="s">
        <v>10049</v>
      </c>
      <c r="V696" t="s">
        <v>10050</v>
      </c>
      <c r="W696" t="s">
        <v>3499</v>
      </c>
      <c r="X696" t="s">
        <v>748</v>
      </c>
      <c r="Y696" t="s">
        <v>9365</v>
      </c>
      <c r="Z696" t="s">
        <v>8148</v>
      </c>
      <c r="AA696" t="s">
        <v>10051</v>
      </c>
      <c r="AB696" t="s">
        <v>10052</v>
      </c>
      <c r="AC696" t="s">
        <v>74</v>
      </c>
      <c r="AD696" t="s">
        <v>74</v>
      </c>
      <c r="AE696" t="s">
        <v>74</v>
      </c>
      <c r="AF696" t="s">
        <v>74</v>
      </c>
      <c r="AG696">
        <v>55</v>
      </c>
      <c r="AH696">
        <v>256</v>
      </c>
      <c r="AI696">
        <v>272</v>
      </c>
      <c r="AJ696">
        <v>2</v>
      </c>
      <c r="AK696">
        <v>64</v>
      </c>
      <c r="AL696" t="s">
        <v>800</v>
      </c>
      <c r="AM696" t="s">
        <v>375</v>
      </c>
      <c r="AN696" t="s">
        <v>801</v>
      </c>
      <c r="AO696" t="s">
        <v>802</v>
      </c>
      <c r="AP696" t="s">
        <v>7205</v>
      </c>
      <c r="AQ696" t="s">
        <v>74</v>
      </c>
      <c r="AR696" t="s">
        <v>803</v>
      </c>
      <c r="AS696" t="s">
        <v>804</v>
      </c>
      <c r="AT696" t="s">
        <v>10030</v>
      </c>
      <c r="AU696">
        <v>2004</v>
      </c>
      <c r="AV696">
        <v>271</v>
      </c>
      <c r="AW696">
        <v>1545</v>
      </c>
      <c r="AX696" t="s">
        <v>74</v>
      </c>
      <c r="AY696" t="s">
        <v>74</v>
      </c>
      <c r="AZ696" t="s">
        <v>74</v>
      </c>
      <c r="BA696" t="s">
        <v>74</v>
      </c>
      <c r="BB696">
        <v>1283</v>
      </c>
      <c r="BC696">
        <v>1291</v>
      </c>
      <c r="BD696" t="s">
        <v>74</v>
      </c>
      <c r="BE696" t="s">
        <v>10053</v>
      </c>
      <c r="BF696" t="str">
        <f>HYPERLINK("http://dx.doi.org/10.1098/rspb.2004.2718","http://dx.doi.org/10.1098/rspb.2004.2718")</f>
        <v>http://dx.doi.org/10.1098/rspb.2004.2718</v>
      </c>
      <c r="BG696" t="s">
        <v>74</v>
      </c>
      <c r="BH696" t="s">
        <v>74</v>
      </c>
      <c r="BI696">
        <v>9</v>
      </c>
      <c r="BJ696" t="s">
        <v>809</v>
      </c>
      <c r="BK696" t="s">
        <v>139</v>
      </c>
      <c r="BL696" t="s">
        <v>810</v>
      </c>
      <c r="BM696" t="s">
        <v>10054</v>
      </c>
      <c r="BN696">
        <v>15306353</v>
      </c>
      <c r="BO696" t="s">
        <v>329</v>
      </c>
      <c r="BP696" t="s">
        <v>74</v>
      </c>
      <c r="BQ696" t="s">
        <v>74</v>
      </c>
      <c r="BR696" t="s">
        <v>98</v>
      </c>
      <c r="BS696" t="s">
        <v>10055</v>
      </c>
      <c r="BT696" t="str">
        <f>HYPERLINK("https%3A%2F%2Fwww.webofscience.com%2Fwos%2Fwoscc%2Ffull-record%2FWOS:000222389400010","View Full Record in Web of Science")</f>
        <v>View Full Record in Web of Science</v>
      </c>
    </row>
    <row r="697" spans="1:72" x14ac:dyDescent="0.15">
      <c r="A697" t="s">
        <v>122</v>
      </c>
      <c r="B697" t="s">
        <v>3504</v>
      </c>
      <c r="C697" t="s">
        <v>74</v>
      </c>
      <c r="D697" t="s">
        <v>74</v>
      </c>
      <c r="E697" t="s">
        <v>74</v>
      </c>
      <c r="F697" t="s">
        <v>3504</v>
      </c>
      <c r="G697" t="s">
        <v>74</v>
      </c>
      <c r="H697" t="s">
        <v>74</v>
      </c>
      <c r="I697" t="s">
        <v>10056</v>
      </c>
      <c r="J697" t="s">
        <v>10057</v>
      </c>
      <c r="K697" t="s">
        <v>74</v>
      </c>
      <c r="L697" t="s">
        <v>74</v>
      </c>
      <c r="M697" t="s">
        <v>79</v>
      </c>
      <c r="N697" t="s">
        <v>840</v>
      </c>
      <c r="O697" t="s">
        <v>74</v>
      </c>
      <c r="P697" t="s">
        <v>74</v>
      </c>
      <c r="Q697" t="s">
        <v>74</v>
      </c>
      <c r="R697" t="s">
        <v>74</v>
      </c>
      <c r="S697" t="s">
        <v>74</v>
      </c>
      <c r="T697" t="s">
        <v>74</v>
      </c>
      <c r="U697" t="s">
        <v>74</v>
      </c>
      <c r="V697" t="s">
        <v>74</v>
      </c>
      <c r="W697" t="s">
        <v>74</v>
      </c>
      <c r="X697" t="s">
        <v>74</v>
      </c>
      <c r="Y697" t="s">
        <v>74</v>
      </c>
      <c r="Z697" t="s">
        <v>74</v>
      </c>
      <c r="AA697" t="s">
        <v>74</v>
      </c>
      <c r="AB697" t="s">
        <v>74</v>
      </c>
      <c r="AC697" t="s">
        <v>74</v>
      </c>
      <c r="AD697" t="s">
        <v>74</v>
      </c>
      <c r="AE697" t="s">
        <v>74</v>
      </c>
      <c r="AF697" t="s">
        <v>74</v>
      </c>
      <c r="AG697">
        <v>0</v>
      </c>
      <c r="AH697">
        <v>0</v>
      </c>
      <c r="AI697">
        <v>0</v>
      </c>
      <c r="AJ697">
        <v>0</v>
      </c>
      <c r="AK697">
        <v>0</v>
      </c>
      <c r="AL697" t="s">
        <v>10058</v>
      </c>
      <c r="AM697" t="s">
        <v>375</v>
      </c>
      <c r="AN697" t="s">
        <v>10059</v>
      </c>
      <c r="AO697" t="s">
        <v>10060</v>
      </c>
      <c r="AP697" t="s">
        <v>74</v>
      </c>
      <c r="AQ697" t="s">
        <v>74</v>
      </c>
      <c r="AR697" t="s">
        <v>10061</v>
      </c>
      <c r="AS697" t="s">
        <v>10062</v>
      </c>
      <c r="AT697" t="s">
        <v>10063</v>
      </c>
      <c r="AU697">
        <v>2004</v>
      </c>
      <c r="AV697" t="s">
        <v>74</v>
      </c>
      <c r="AW697">
        <v>12</v>
      </c>
      <c r="AX697" t="s">
        <v>74</v>
      </c>
      <c r="AY697" t="s">
        <v>74</v>
      </c>
      <c r="AZ697" t="s">
        <v>74</v>
      </c>
      <c r="BA697" t="s">
        <v>74</v>
      </c>
      <c r="BB697">
        <v>5</v>
      </c>
      <c r="BC697">
        <v>5</v>
      </c>
      <c r="BD697" t="s">
        <v>74</v>
      </c>
      <c r="BE697" t="s">
        <v>74</v>
      </c>
      <c r="BF697" t="s">
        <v>74</v>
      </c>
      <c r="BG697" t="s">
        <v>74</v>
      </c>
      <c r="BH697" t="s">
        <v>74</v>
      </c>
      <c r="BI697">
        <v>1</v>
      </c>
      <c r="BJ697" t="s">
        <v>10064</v>
      </c>
      <c r="BK697" t="s">
        <v>139</v>
      </c>
      <c r="BL697" t="s">
        <v>1151</v>
      </c>
      <c r="BM697" t="s">
        <v>10065</v>
      </c>
      <c r="BN697" t="s">
        <v>74</v>
      </c>
      <c r="BO697" t="s">
        <v>74</v>
      </c>
      <c r="BP697" t="s">
        <v>74</v>
      </c>
      <c r="BQ697" t="s">
        <v>74</v>
      </c>
      <c r="BR697" t="s">
        <v>98</v>
      </c>
      <c r="BS697" t="s">
        <v>10066</v>
      </c>
      <c r="BT697" t="str">
        <f>HYPERLINK("https%3A%2F%2Fwww.webofscience.com%2Fwos%2Fwoscc%2Ffull-record%2FWOS:000222337400003","View Full Record in Web of Science")</f>
        <v>View Full Record in Web of Science</v>
      </c>
    </row>
    <row r="698" spans="1:72" x14ac:dyDescent="0.15">
      <c r="A698" t="s">
        <v>122</v>
      </c>
      <c r="B698" t="s">
        <v>10067</v>
      </c>
      <c r="C698" t="s">
        <v>74</v>
      </c>
      <c r="D698" t="s">
        <v>74</v>
      </c>
      <c r="E698" t="s">
        <v>74</v>
      </c>
      <c r="F698" t="s">
        <v>10067</v>
      </c>
      <c r="G698" t="s">
        <v>74</v>
      </c>
      <c r="H698" t="s">
        <v>74</v>
      </c>
      <c r="I698" t="s">
        <v>10068</v>
      </c>
      <c r="J698" t="s">
        <v>1636</v>
      </c>
      <c r="K698" t="s">
        <v>74</v>
      </c>
      <c r="L698" t="s">
        <v>74</v>
      </c>
      <c r="M698" t="s">
        <v>79</v>
      </c>
      <c r="N698" t="s">
        <v>581</v>
      </c>
      <c r="O698" t="s">
        <v>74</v>
      </c>
      <c r="P698" t="s">
        <v>74</v>
      </c>
      <c r="Q698" t="s">
        <v>74</v>
      </c>
      <c r="R698" t="s">
        <v>74</v>
      </c>
      <c r="S698" t="s">
        <v>74</v>
      </c>
      <c r="T698" t="s">
        <v>10069</v>
      </c>
      <c r="U698" t="s">
        <v>10070</v>
      </c>
      <c r="V698" t="s">
        <v>10071</v>
      </c>
      <c r="W698" t="s">
        <v>10072</v>
      </c>
      <c r="X698" t="s">
        <v>74</v>
      </c>
      <c r="Y698" t="s">
        <v>10073</v>
      </c>
      <c r="Z698" t="s">
        <v>10074</v>
      </c>
      <c r="AA698" t="s">
        <v>74</v>
      </c>
      <c r="AB698" t="s">
        <v>74</v>
      </c>
      <c r="AC698" t="s">
        <v>74</v>
      </c>
      <c r="AD698" t="s">
        <v>74</v>
      </c>
      <c r="AE698" t="s">
        <v>74</v>
      </c>
      <c r="AF698" t="s">
        <v>74</v>
      </c>
      <c r="AG698">
        <v>173</v>
      </c>
      <c r="AH698">
        <v>44</v>
      </c>
      <c r="AI698">
        <v>53</v>
      </c>
      <c r="AJ698">
        <v>0</v>
      </c>
      <c r="AK698">
        <v>17</v>
      </c>
      <c r="AL698" t="s">
        <v>1644</v>
      </c>
      <c r="AM698" t="s">
        <v>1645</v>
      </c>
      <c r="AN698" t="s">
        <v>1646</v>
      </c>
      <c r="AO698" t="s">
        <v>1647</v>
      </c>
      <c r="AP698" t="s">
        <v>1648</v>
      </c>
      <c r="AQ698" t="s">
        <v>74</v>
      </c>
      <c r="AR698" t="s">
        <v>1649</v>
      </c>
      <c r="AS698" t="s">
        <v>1650</v>
      </c>
      <c r="AT698" t="s">
        <v>10075</v>
      </c>
      <c r="AU698">
        <v>2004</v>
      </c>
      <c r="AV698">
        <v>38</v>
      </c>
      <c r="AW698">
        <v>12</v>
      </c>
      <c r="AX698" t="s">
        <v>74</v>
      </c>
      <c r="AY698" t="s">
        <v>74</v>
      </c>
      <c r="AZ698" t="s">
        <v>74</v>
      </c>
      <c r="BA698" t="s">
        <v>74</v>
      </c>
      <c r="BB698">
        <v>1461</v>
      </c>
      <c r="BC698">
        <v>1487</v>
      </c>
      <c r="BD698" t="s">
        <v>74</v>
      </c>
      <c r="BE698" t="s">
        <v>10076</v>
      </c>
      <c r="BF698" t="str">
        <f>HYPERLINK("http://dx.doi.org/10.1080/0022293031000155403","http://dx.doi.org/10.1080/0022293031000155403")</f>
        <v>http://dx.doi.org/10.1080/0022293031000155403</v>
      </c>
      <c r="BG698" t="s">
        <v>74</v>
      </c>
      <c r="BH698" t="s">
        <v>74</v>
      </c>
      <c r="BI698">
        <v>27</v>
      </c>
      <c r="BJ698" t="s">
        <v>1652</v>
      </c>
      <c r="BK698" t="s">
        <v>139</v>
      </c>
      <c r="BL698" t="s">
        <v>1653</v>
      </c>
      <c r="BM698" t="s">
        <v>10077</v>
      </c>
      <c r="BN698" t="s">
        <v>74</v>
      </c>
      <c r="BO698" t="s">
        <v>74</v>
      </c>
      <c r="BP698" t="s">
        <v>74</v>
      </c>
      <c r="BQ698" t="s">
        <v>74</v>
      </c>
      <c r="BR698" t="s">
        <v>98</v>
      </c>
      <c r="BS698" t="s">
        <v>10078</v>
      </c>
      <c r="BT698" t="str">
        <f>HYPERLINK("https%3A%2F%2Fwww.webofscience.com%2Fwos%2Fwoscc%2Ffull-record%2FWOS:000189108700001","View Full Record in Web of Science")</f>
        <v>View Full Record in Web of Science</v>
      </c>
    </row>
    <row r="699" spans="1:72" x14ac:dyDescent="0.15">
      <c r="A699" t="s">
        <v>122</v>
      </c>
      <c r="B699" t="s">
        <v>10079</v>
      </c>
      <c r="C699" t="s">
        <v>74</v>
      </c>
      <c r="D699" t="s">
        <v>74</v>
      </c>
      <c r="E699" t="s">
        <v>74</v>
      </c>
      <c r="F699" t="s">
        <v>10079</v>
      </c>
      <c r="G699" t="s">
        <v>74</v>
      </c>
      <c r="H699" t="s">
        <v>74</v>
      </c>
      <c r="I699" t="s">
        <v>10080</v>
      </c>
      <c r="J699" t="s">
        <v>643</v>
      </c>
      <c r="K699" t="s">
        <v>74</v>
      </c>
      <c r="L699" t="s">
        <v>74</v>
      </c>
      <c r="M699" t="s">
        <v>79</v>
      </c>
      <c r="N699" t="s">
        <v>126</v>
      </c>
      <c r="O699" t="s">
        <v>74</v>
      </c>
      <c r="P699" t="s">
        <v>74</v>
      </c>
      <c r="Q699" t="s">
        <v>74</v>
      </c>
      <c r="R699" t="s">
        <v>74</v>
      </c>
      <c r="S699" t="s">
        <v>74</v>
      </c>
      <c r="T699" t="s">
        <v>10081</v>
      </c>
      <c r="U699" t="s">
        <v>10082</v>
      </c>
      <c r="V699" t="s">
        <v>10083</v>
      </c>
      <c r="W699" t="s">
        <v>10084</v>
      </c>
      <c r="X699" t="s">
        <v>10085</v>
      </c>
      <c r="Y699" t="s">
        <v>10086</v>
      </c>
      <c r="Z699" t="s">
        <v>10087</v>
      </c>
      <c r="AA699" t="s">
        <v>10088</v>
      </c>
      <c r="AB699" t="s">
        <v>10089</v>
      </c>
      <c r="AC699" t="s">
        <v>74</v>
      </c>
      <c r="AD699" t="s">
        <v>74</v>
      </c>
      <c r="AE699" t="s">
        <v>74</v>
      </c>
      <c r="AF699" t="s">
        <v>74</v>
      </c>
      <c r="AG699">
        <v>35</v>
      </c>
      <c r="AH699">
        <v>104</v>
      </c>
      <c r="AI699">
        <v>112</v>
      </c>
      <c r="AJ699">
        <v>4</v>
      </c>
      <c r="AK699">
        <v>13</v>
      </c>
      <c r="AL699" t="s">
        <v>239</v>
      </c>
      <c r="AM699" t="s">
        <v>240</v>
      </c>
      <c r="AN699" t="s">
        <v>241</v>
      </c>
      <c r="AO699" t="s">
        <v>653</v>
      </c>
      <c r="AP699" t="s">
        <v>654</v>
      </c>
      <c r="AQ699" t="s">
        <v>74</v>
      </c>
      <c r="AR699" t="s">
        <v>655</v>
      </c>
      <c r="AS699" t="s">
        <v>656</v>
      </c>
      <c r="AT699" t="s">
        <v>10090</v>
      </c>
      <c r="AU699">
        <v>2004</v>
      </c>
      <c r="AV699">
        <v>109</v>
      </c>
      <c r="AW699" t="s">
        <v>10091</v>
      </c>
      <c r="AX699" t="s">
        <v>74</v>
      </c>
      <c r="AY699" t="s">
        <v>74</v>
      </c>
      <c r="AZ699" t="s">
        <v>74</v>
      </c>
      <c r="BA699" t="s">
        <v>74</v>
      </c>
      <c r="BB699" t="s">
        <v>74</v>
      </c>
      <c r="BC699" t="s">
        <v>74</v>
      </c>
      <c r="BD699" t="s">
        <v>10092</v>
      </c>
      <c r="BE699" t="s">
        <v>10093</v>
      </c>
      <c r="BF699" t="str">
        <f>HYPERLINK("http://dx.doi.org/10.1029/2003JC002053","http://dx.doi.org/10.1029/2003JC002053")</f>
        <v>http://dx.doi.org/10.1029/2003JC002053</v>
      </c>
      <c r="BG699" t="s">
        <v>74</v>
      </c>
      <c r="BH699" t="s">
        <v>74</v>
      </c>
      <c r="BI699">
        <v>13</v>
      </c>
      <c r="BJ699" t="s">
        <v>660</v>
      </c>
      <c r="BK699" t="s">
        <v>139</v>
      </c>
      <c r="BL699" t="s">
        <v>660</v>
      </c>
      <c r="BM699" t="s">
        <v>10094</v>
      </c>
      <c r="BN699" t="s">
        <v>74</v>
      </c>
      <c r="BO699" t="s">
        <v>2469</v>
      </c>
      <c r="BP699" t="s">
        <v>74</v>
      </c>
      <c r="BQ699" t="s">
        <v>74</v>
      </c>
      <c r="BR699" t="s">
        <v>98</v>
      </c>
      <c r="BS699" t="s">
        <v>10095</v>
      </c>
      <c r="BT699" t="str">
        <f>HYPERLINK("https%3A%2F%2Fwww.webofscience.com%2Fwos%2Fwoscc%2Ffull-record%2FWOS:000223886900003","View Full Record in Web of Science")</f>
        <v>View Full Record in Web of Science</v>
      </c>
    </row>
    <row r="700" spans="1:72" x14ac:dyDescent="0.15">
      <c r="A700" t="s">
        <v>122</v>
      </c>
      <c r="B700" t="s">
        <v>10096</v>
      </c>
      <c r="C700" t="s">
        <v>74</v>
      </c>
      <c r="D700" t="s">
        <v>74</v>
      </c>
      <c r="E700" t="s">
        <v>74</v>
      </c>
      <c r="F700" t="s">
        <v>10096</v>
      </c>
      <c r="G700" t="s">
        <v>74</v>
      </c>
      <c r="H700" t="s">
        <v>74</v>
      </c>
      <c r="I700" t="s">
        <v>10097</v>
      </c>
      <c r="J700" t="s">
        <v>643</v>
      </c>
      <c r="K700" t="s">
        <v>74</v>
      </c>
      <c r="L700" t="s">
        <v>74</v>
      </c>
      <c r="M700" t="s">
        <v>79</v>
      </c>
      <c r="N700" t="s">
        <v>126</v>
      </c>
      <c r="O700" t="s">
        <v>74</v>
      </c>
      <c r="P700" t="s">
        <v>74</v>
      </c>
      <c r="Q700" t="s">
        <v>74</v>
      </c>
      <c r="R700" t="s">
        <v>74</v>
      </c>
      <c r="S700" t="s">
        <v>74</v>
      </c>
      <c r="T700" t="s">
        <v>10098</v>
      </c>
      <c r="U700" t="s">
        <v>10099</v>
      </c>
      <c r="V700" t="s">
        <v>10100</v>
      </c>
      <c r="W700" t="s">
        <v>10101</v>
      </c>
      <c r="X700" t="s">
        <v>4970</v>
      </c>
      <c r="Y700" t="s">
        <v>10102</v>
      </c>
      <c r="Z700" t="s">
        <v>10103</v>
      </c>
      <c r="AA700" t="s">
        <v>74</v>
      </c>
      <c r="AB700" t="s">
        <v>74</v>
      </c>
      <c r="AC700" t="s">
        <v>74</v>
      </c>
      <c r="AD700" t="s">
        <v>74</v>
      </c>
      <c r="AE700" t="s">
        <v>74</v>
      </c>
      <c r="AF700" t="s">
        <v>74</v>
      </c>
      <c r="AG700">
        <v>46</v>
      </c>
      <c r="AH700">
        <v>14</v>
      </c>
      <c r="AI700">
        <v>14</v>
      </c>
      <c r="AJ700">
        <v>0</v>
      </c>
      <c r="AK700">
        <v>6</v>
      </c>
      <c r="AL700" t="s">
        <v>239</v>
      </c>
      <c r="AM700" t="s">
        <v>240</v>
      </c>
      <c r="AN700" t="s">
        <v>241</v>
      </c>
      <c r="AO700" t="s">
        <v>653</v>
      </c>
      <c r="AP700" t="s">
        <v>654</v>
      </c>
      <c r="AQ700" t="s">
        <v>74</v>
      </c>
      <c r="AR700" t="s">
        <v>655</v>
      </c>
      <c r="AS700" t="s">
        <v>656</v>
      </c>
      <c r="AT700" t="s">
        <v>10090</v>
      </c>
      <c r="AU700">
        <v>2004</v>
      </c>
      <c r="AV700">
        <v>109</v>
      </c>
      <c r="AW700" t="s">
        <v>10091</v>
      </c>
      <c r="AX700" t="s">
        <v>74</v>
      </c>
      <c r="AY700" t="s">
        <v>74</v>
      </c>
      <c r="AZ700" t="s">
        <v>74</v>
      </c>
      <c r="BA700" t="s">
        <v>74</v>
      </c>
      <c r="BB700" t="s">
        <v>74</v>
      </c>
      <c r="BC700" t="s">
        <v>74</v>
      </c>
      <c r="BD700" t="s">
        <v>10104</v>
      </c>
      <c r="BE700" t="s">
        <v>10105</v>
      </c>
      <c r="BF700" t="str">
        <f>HYPERLINK("http://dx.doi.org/10.1029/2002JC001666","http://dx.doi.org/10.1029/2002JC001666")</f>
        <v>http://dx.doi.org/10.1029/2002JC001666</v>
      </c>
      <c r="BG700" t="s">
        <v>74</v>
      </c>
      <c r="BH700" t="s">
        <v>74</v>
      </c>
      <c r="BI700">
        <v>18</v>
      </c>
      <c r="BJ700" t="s">
        <v>660</v>
      </c>
      <c r="BK700" t="s">
        <v>139</v>
      </c>
      <c r="BL700" t="s">
        <v>660</v>
      </c>
      <c r="BM700" t="s">
        <v>10094</v>
      </c>
      <c r="BN700" t="s">
        <v>74</v>
      </c>
      <c r="BO700" t="s">
        <v>273</v>
      </c>
      <c r="BP700" t="s">
        <v>74</v>
      </c>
      <c r="BQ700" t="s">
        <v>74</v>
      </c>
      <c r="BR700" t="s">
        <v>98</v>
      </c>
      <c r="BS700" t="s">
        <v>10106</v>
      </c>
      <c r="BT700" t="str">
        <f>HYPERLINK("https%3A%2F%2Fwww.webofscience.com%2Fwos%2Fwoscc%2Ffull-record%2FWOS:000223886900001","View Full Record in Web of Science")</f>
        <v>View Full Record in Web of Science</v>
      </c>
    </row>
    <row r="701" spans="1:72" x14ac:dyDescent="0.15">
      <c r="A701" t="s">
        <v>122</v>
      </c>
      <c r="B701" t="s">
        <v>10107</v>
      </c>
      <c r="C701" t="s">
        <v>74</v>
      </c>
      <c r="D701" t="s">
        <v>74</v>
      </c>
      <c r="E701" t="s">
        <v>74</v>
      </c>
      <c r="F701" t="s">
        <v>10107</v>
      </c>
      <c r="G701" t="s">
        <v>74</v>
      </c>
      <c r="H701" t="s">
        <v>74</v>
      </c>
      <c r="I701" t="s">
        <v>10108</v>
      </c>
      <c r="J701" t="s">
        <v>230</v>
      </c>
      <c r="K701" t="s">
        <v>74</v>
      </c>
      <c r="L701" t="s">
        <v>74</v>
      </c>
      <c r="M701" t="s">
        <v>79</v>
      </c>
      <c r="N701" t="s">
        <v>126</v>
      </c>
      <c r="O701" t="s">
        <v>74</v>
      </c>
      <c r="P701" t="s">
        <v>74</v>
      </c>
      <c r="Q701" t="s">
        <v>74</v>
      </c>
      <c r="R701" t="s">
        <v>74</v>
      </c>
      <c r="S701" t="s">
        <v>74</v>
      </c>
      <c r="T701" t="s">
        <v>74</v>
      </c>
      <c r="U701" t="s">
        <v>10109</v>
      </c>
      <c r="V701" t="s">
        <v>10110</v>
      </c>
      <c r="W701" t="s">
        <v>10111</v>
      </c>
      <c r="X701" t="s">
        <v>10112</v>
      </c>
      <c r="Y701" t="s">
        <v>10113</v>
      </c>
      <c r="Z701" t="s">
        <v>10114</v>
      </c>
      <c r="AA701" t="s">
        <v>10115</v>
      </c>
      <c r="AB701" t="s">
        <v>10116</v>
      </c>
      <c r="AC701" t="s">
        <v>74</v>
      </c>
      <c r="AD701" t="s">
        <v>74</v>
      </c>
      <c r="AE701" t="s">
        <v>74</v>
      </c>
      <c r="AF701" t="s">
        <v>74</v>
      </c>
      <c r="AG701">
        <v>19</v>
      </c>
      <c r="AH701">
        <v>31</v>
      </c>
      <c r="AI701">
        <v>34</v>
      </c>
      <c r="AJ701">
        <v>0</v>
      </c>
      <c r="AK701">
        <v>5</v>
      </c>
      <c r="AL701" t="s">
        <v>239</v>
      </c>
      <c r="AM701" t="s">
        <v>240</v>
      </c>
      <c r="AN701" t="s">
        <v>241</v>
      </c>
      <c r="AO701" t="s">
        <v>242</v>
      </c>
      <c r="AP701" t="s">
        <v>74</v>
      </c>
      <c r="AQ701" t="s">
        <v>74</v>
      </c>
      <c r="AR701" t="s">
        <v>243</v>
      </c>
      <c r="AS701" t="s">
        <v>244</v>
      </c>
      <c r="AT701" t="s">
        <v>10117</v>
      </c>
      <c r="AU701">
        <v>2004</v>
      </c>
      <c r="AV701">
        <v>31</v>
      </c>
      <c r="AW701">
        <v>12</v>
      </c>
      <c r="AX701" t="s">
        <v>74</v>
      </c>
      <c r="AY701" t="s">
        <v>74</v>
      </c>
      <c r="AZ701" t="s">
        <v>74</v>
      </c>
      <c r="BA701" t="s">
        <v>74</v>
      </c>
      <c r="BB701" t="s">
        <v>74</v>
      </c>
      <c r="BC701" t="s">
        <v>74</v>
      </c>
      <c r="BD701" t="s">
        <v>10118</v>
      </c>
      <c r="BE701" t="s">
        <v>10119</v>
      </c>
      <c r="BF701" t="str">
        <f>HYPERLINK("http://dx.doi.org/10.1029/2004GL019895","http://dx.doi.org/10.1029/2004GL019895")</f>
        <v>http://dx.doi.org/10.1029/2004GL019895</v>
      </c>
      <c r="BG701" t="s">
        <v>74</v>
      </c>
      <c r="BH701" t="s">
        <v>74</v>
      </c>
      <c r="BI701">
        <v>4</v>
      </c>
      <c r="BJ701" t="s">
        <v>248</v>
      </c>
      <c r="BK701" t="s">
        <v>139</v>
      </c>
      <c r="BL701" t="s">
        <v>249</v>
      </c>
      <c r="BM701" t="s">
        <v>10120</v>
      </c>
      <c r="BN701" t="s">
        <v>74</v>
      </c>
      <c r="BO701" t="s">
        <v>273</v>
      </c>
      <c r="BP701" t="s">
        <v>74</v>
      </c>
      <c r="BQ701" t="s">
        <v>74</v>
      </c>
      <c r="BR701" t="s">
        <v>98</v>
      </c>
      <c r="BS701" t="s">
        <v>10121</v>
      </c>
      <c r="BT701" t="str">
        <f>HYPERLINK("https%3A%2F%2Fwww.webofscience.com%2Fwos%2Fwoscc%2Ffull-record%2FWOS:000222325100006","View Full Record in Web of Science")</f>
        <v>View Full Record in Web of Science</v>
      </c>
    </row>
    <row r="702" spans="1:72" x14ac:dyDescent="0.15">
      <c r="A702" t="s">
        <v>122</v>
      </c>
      <c r="B702" t="s">
        <v>10122</v>
      </c>
      <c r="C702" t="s">
        <v>74</v>
      </c>
      <c r="D702" t="s">
        <v>74</v>
      </c>
      <c r="E702" t="s">
        <v>74</v>
      </c>
      <c r="F702" t="s">
        <v>10122</v>
      </c>
      <c r="G702" t="s">
        <v>74</v>
      </c>
      <c r="H702" t="s">
        <v>74</v>
      </c>
      <c r="I702" t="s">
        <v>10123</v>
      </c>
      <c r="J702" t="s">
        <v>230</v>
      </c>
      <c r="K702" t="s">
        <v>74</v>
      </c>
      <c r="L702" t="s">
        <v>74</v>
      </c>
      <c r="M702" t="s">
        <v>79</v>
      </c>
      <c r="N702" t="s">
        <v>126</v>
      </c>
      <c r="O702" t="s">
        <v>74</v>
      </c>
      <c r="P702" t="s">
        <v>74</v>
      </c>
      <c r="Q702" t="s">
        <v>74</v>
      </c>
      <c r="R702" t="s">
        <v>74</v>
      </c>
      <c r="S702" t="s">
        <v>74</v>
      </c>
      <c r="T702" t="s">
        <v>74</v>
      </c>
      <c r="U702" t="s">
        <v>10124</v>
      </c>
      <c r="V702" t="s">
        <v>10125</v>
      </c>
      <c r="W702" t="s">
        <v>10126</v>
      </c>
      <c r="X702" t="s">
        <v>10127</v>
      </c>
      <c r="Y702" t="s">
        <v>10128</v>
      </c>
      <c r="Z702" t="s">
        <v>10129</v>
      </c>
      <c r="AA702" t="s">
        <v>10130</v>
      </c>
      <c r="AB702" t="s">
        <v>10131</v>
      </c>
      <c r="AC702" t="s">
        <v>74</v>
      </c>
      <c r="AD702" t="s">
        <v>74</v>
      </c>
      <c r="AE702" t="s">
        <v>74</v>
      </c>
      <c r="AF702" t="s">
        <v>74</v>
      </c>
      <c r="AG702">
        <v>16</v>
      </c>
      <c r="AH702">
        <v>38</v>
      </c>
      <c r="AI702">
        <v>38</v>
      </c>
      <c r="AJ702">
        <v>0</v>
      </c>
      <c r="AK702">
        <v>5</v>
      </c>
      <c r="AL702" t="s">
        <v>239</v>
      </c>
      <c r="AM702" t="s">
        <v>240</v>
      </c>
      <c r="AN702" t="s">
        <v>241</v>
      </c>
      <c r="AO702" t="s">
        <v>242</v>
      </c>
      <c r="AP702" t="s">
        <v>341</v>
      </c>
      <c r="AQ702" t="s">
        <v>74</v>
      </c>
      <c r="AR702" t="s">
        <v>243</v>
      </c>
      <c r="AS702" t="s">
        <v>244</v>
      </c>
      <c r="AT702" t="s">
        <v>10132</v>
      </c>
      <c r="AU702">
        <v>2004</v>
      </c>
      <c r="AV702">
        <v>31</v>
      </c>
      <c r="AW702">
        <v>12</v>
      </c>
      <c r="AX702" t="s">
        <v>74</v>
      </c>
      <c r="AY702" t="s">
        <v>74</v>
      </c>
      <c r="AZ702" t="s">
        <v>74</v>
      </c>
      <c r="BA702" t="s">
        <v>74</v>
      </c>
      <c r="BB702" t="s">
        <v>74</v>
      </c>
      <c r="BC702" t="s">
        <v>74</v>
      </c>
      <c r="BD702" t="s">
        <v>10133</v>
      </c>
      <c r="BE702" t="s">
        <v>10134</v>
      </c>
      <c r="BF702" t="str">
        <f>HYPERLINK("http://dx.doi.org/10.1029/2004GL019744","http://dx.doi.org/10.1029/2004GL019744")</f>
        <v>http://dx.doi.org/10.1029/2004GL019744</v>
      </c>
      <c r="BG702" t="s">
        <v>74</v>
      </c>
      <c r="BH702" t="s">
        <v>74</v>
      </c>
      <c r="BI702">
        <v>4</v>
      </c>
      <c r="BJ702" t="s">
        <v>248</v>
      </c>
      <c r="BK702" t="s">
        <v>139</v>
      </c>
      <c r="BL702" t="s">
        <v>249</v>
      </c>
      <c r="BM702" t="s">
        <v>10135</v>
      </c>
      <c r="BN702" t="s">
        <v>74</v>
      </c>
      <c r="BO702" t="s">
        <v>329</v>
      </c>
      <c r="BP702" t="s">
        <v>74</v>
      </c>
      <c r="BQ702" t="s">
        <v>74</v>
      </c>
      <c r="BR702" t="s">
        <v>98</v>
      </c>
      <c r="BS702" t="s">
        <v>10136</v>
      </c>
      <c r="BT702" t="str">
        <f>HYPERLINK("https%3A%2F%2Fwww.webofscience.com%2Fwos%2Fwoscc%2Ffull-record%2FWOS:000222324800001","View Full Record in Web of Science")</f>
        <v>View Full Record in Web of Science</v>
      </c>
    </row>
    <row r="703" spans="1:72" x14ac:dyDescent="0.15">
      <c r="A703" t="s">
        <v>122</v>
      </c>
      <c r="B703" t="s">
        <v>10137</v>
      </c>
      <c r="C703" t="s">
        <v>74</v>
      </c>
      <c r="D703" t="s">
        <v>74</v>
      </c>
      <c r="E703" t="s">
        <v>74</v>
      </c>
      <c r="F703" t="s">
        <v>10137</v>
      </c>
      <c r="G703" t="s">
        <v>74</v>
      </c>
      <c r="H703" t="s">
        <v>74</v>
      </c>
      <c r="I703" t="s">
        <v>10138</v>
      </c>
      <c r="J703" t="s">
        <v>522</v>
      </c>
      <c r="K703" t="s">
        <v>74</v>
      </c>
      <c r="L703" t="s">
        <v>74</v>
      </c>
      <c r="M703" t="s">
        <v>79</v>
      </c>
      <c r="N703" t="s">
        <v>126</v>
      </c>
      <c r="O703" t="s">
        <v>74</v>
      </c>
      <c r="P703" t="s">
        <v>74</v>
      </c>
      <c r="Q703" t="s">
        <v>74</v>
      </c>
      <c r="R703" t="s">
        <v>74</v>
      </c>
      <c r="S703" t="s">
        <v>74</v>
      </c>
      <c r="T703" t="s">
        <v>10139</v>
      </c>
      <c r="U703" t="s">
        <v>10140</v>
      </c>
      <c r="V703" t="s">
        <v>10141</v>
      </c>
      <c r="W703" t="s">
        <v>10142</v>
      </c>
      <c r="X703" t="s">
        <v>10143</v>
      </c>
      <c r="Y703" t="s">
        <v>10144</v>
      </c>
      <c r="Z703" t="s">
        <v>10145</v>
      </c>
      <c r="AA703" t="s">
        <v>10146</v>
      </c>
      <c r="AB703" t="s">
        <v>10147</v>
      </c>
      <c r="AC703" t="s">
        <v>74</v>
      </c>
      <c r="AD703" t="s">
        <v>74</v>
      </c>
      <c r="AE703" t="s">
        <v>74</v>
      </c>
      <c r="AF703" t="s">
        <v>74</v>
      </c>
      <c r="AG703">
        <v>42</v>
      </c>
      <c r="AH703">
        <v>28</v>
      </c>
      <c r="AI703">
        <v>32</v>
      </c>
      <c r="AJ703">
        <v>1</v>
      </c>
      <c r="AK703">
        <v>12</v>
      </c>
      <c r="AL703" t="s">
        <v>531</v>
      </c>
      <c r="AM703" t="s">
        <v>532</v>
      </c>
      <c r="AN703" t="s">
        <v>533</v>
      </c>
      <c r="AO703" t="s">
        <v>534</v>
      </c>
      <c r="AP703" t="s">
        <v>535</v>
      </c>
      <c r="AQ703" t="s">
        <v>74</v>
      </c>
      <c r="AR703" t="s">
        <v>536</v>
      </c>
      <c r="AS703" t="s">
        <v>537</v>
      </c>
      <c r="AT703" t="s">
        <v>10148</v>
      </c>
      <c r="AU703">
        <v>2004</v>
      </c>
      <c r="AV703">
        <v>222</v>
      </c>
      <c r="AW703" t="s">
        <v>538</v>
      </c>
      <c r="AX703" t="s">
        <v>74</v>
      </c>
      <c r="AY703" t="s">
        <v>74</v>
      </c>
      <c r="AZ703" t="s">
        <v>74</v>
      </c>
      <c r="BA703" t="s">
        <v>74</v>
      </c>
      <c r="BB703">
        <v>751</v>
      </c>
      <c r="BC703">
        <v>765</v>
      </c>
      <c r="BD703" t="s">
        <v>74</v>
      </c>
      <c r="BE703" t="s">
        <v>10149</v>
      </c>
      <c r="BF703" t="str">
        <f>HYPERLINK("http://dx.doi.org/10.1016/j.epsl.2004.03.023","http://dx.doi.org/10.1016/j.epsl.2004.03.023")</f>
        <v>http://dx.doi.org/10.1016/j.epsl.2004.03.023</v>
      </c>
      <c r="BG703" t="s">
        <v>74</v>
      </c>
      <c r="BH703" t="s">
        <v>74</v>
      </c>
      <c r="BI703">
        <v>15</v>
      </c>
      <c r="BJ703" t="s">
        <v>271</v>
      </c>
      <c r="BK703" t="s">
        <v>139</v>
      </c>
      <c r="BL703" t="s">
        <v>271</v>
      </c>
      <c r="BM703" t="s">
        <v>10150</v>
      </c>
      <c r="BN703" t="s">
        <v>74</v>
      </c>
      <c r="BO703" t="s">
        <v>74</v>
      </c>
      <c r="BP703" t="s">
        <v>74</v>
      </c>
      <c r="BQ703" t="s">
        <v>74</v>
      </c>
      <c r="BR703" t="s">
        <v>98</v>
      </c>
      <c r="BS703" t="s">
        <v>10151</v>
      </c>
      <c r="BT703" t="str">
        <f>HYPERLINK("https%3A%2F%2Fwww.webofscience.com%2Fwos%2Fwoscc%2Ffull-record%2FWOS:000222202700005","View Full Record in Web of Science")</f>
        <v>View Full Record in Web of Science</v>
      </c>
    </row>
    <row r="704" spans="1:72" x14ac:dyDescent="0.15">
      <c r="A704" t="s">
        <v>122</v>
      </c>
      <c r="B704" t="s">
        <v>10152</v>
      </c>
      <c r="C704" t="s">
        <v>74</v>
      </c>
      <c r="D704" t="s">
        <v>74</v>
      </c>
      <c r="E704" t="s">
        <v>74</v>
      </c>
      <c r="F704" t="s">
        <v>10152</v>
      </c>
      <c r="G704" t="s">
        <v>74</v>
      </c>
      <c r="H704" t="s">
        <v>74</v>
      </c>
      <c r="I704" t="s">
        <v>10153</v>
      </c>
      <c r="J704" t="s">
        <v>522</v>
      </c>
      <c r="K704" t="s">
        <v>74</v>
      </c>
      <c r="L704" t="s">
        <v>74</v>
      </c>
      <c r="M704" t="s">
        <v>79</v>
      </c>
      <c r="N704" t="s">
        <v>126</v>
      </c>
      <c r="O704" t="s">
        <v>74</v>
      </c>
      <c r="P704" t="s">
        <v>74</v>
      </c>
      <c r="Q704" t="s">
        <v>74</v>
      </c>
      <c r="R704" t="s">
        <v>74</v>
      </c>
      <c r="S704" t="s">
        <v>74</v>
      </c>
      <c r="T704" t="s">
        <v>10154</v>
      </c>
      <c r="U704" t="s">
        <v>10155</v>
      </c>
      <c r="V704" t="s">
        <v>10156</v>
      </c>
      <c r="W704" t="s">
        <v>547</v>
      </c>
      <c r="X704" t="s">
        <v>548</v>
      </c>
      <c r="Y704" t="s">
        <v>10157</v>
      </c>
      <c r="Z704" t="s">
        <v>10158</v>
      </c>
      <c r="AA704" t="s">
        <v>10159</v>
      </c>
      <c r="AB704" t="s">
        <v>10160</v>
      </c>
      <c r="AC704" t="s">
        <v>74</v>
      </c>
      <c r="AD704" t="s">
        <v>74</v>
      </c>
      <c r="AE704" t="s">
        <v>74</v>
      </c>
      <c r="AF704" t="s">
        <v>74</v>
      </c>
      <c r="AG704">
        <v>43</v>
      </c>
      <c r="AH704">
        <v>22</v>
      </c>
      <c r="AI704">
        <v>25</v>
      </c>
      <c r="AJ704">
        <v>0</v>
      </c>
      <c r="AK704">
        <v>18</v>
      </c>
      <c r="AL704" t="s">
        <v>531</v>
      </c>
      <c r="AM704" t="s">
        <v>532</v>
      </c>
      <c r="AN704" t="s">
        <v>533</v>
      </c>
      <c r="AO704" t="s">
        <v>534</v>
      </c>
      <c r="AP704" t="s">
        <v>535</v>
      </c>
      <c r="AQ704" t="s">
        <v>74</v>
      </c>
      <c r="AR704" t="s">
        <v>536</v>
      </c>
      <c r="AS704" t="s">
        <v>537</v>
      </c>
      <c r="AT704" t="s">
        <v>10148</v>
      </c>
      <c r="AU704">
        <v>2004</v>
      </c>
      <c r="AV704">
        <v>222</v>
      </c>
      <c r="AW704" t="s">
        <v>538</v>
      </c>
      <c r="AX704" t="s">
        <v>74</v>
      </c>
      <c r="AY704" t="s">
        <v>74</v>
      </c>
      <c r="AZ704" t="s">
        <v>74</v>
      </c>
      <c r="BA704" t="s">
        <v>74</v>
      </c>
      <c r="BB704">
        <v>767</v>
      </c>
      <c r="BC704">
        <v>778</v>
      </c>
      <c r="BD704" t="s">
        <v>74</v>
      </c>
      <c r="BE704" t="s">
        <v>10161</v>
      </c>
      <c r="BF704" t="str">
        <f>HYPERLINK("http://dx.doi.org/10.1016/j.epsl.2004.03.029","http://dx.doi.org/10.1016/j.epsl.2004.03.029")</f>
        <v>http://dx.doi.org/10.1016/j.epsl.2004.03.029</v>
      </c>
      <c r="BG704" t="s">
        <v>74</v>
      </c>
      <c r="BH704" t="s">
        <v>74</v>
      </c>
      <c r="BI704">
        <v>12</v>
      </c>
      <c r="BJ704" t="s">
        <v>271</v>
      </c>
      <c r="BK704" t="s">
        <v>139</v>
      </c>
      <c r="BL704" t="s">
        <v>271</v>
      </c>
      <c r="BM704" t="s">
        <v>10150</v>
      </c>
      <c r="BN704" t="s">
        <v>74</v>
      </c>
      <c r="BO704" t="s">
        <v>329</v>
      </c>
      <c r="BP704" t="s">
        <v>74</v>
      </c>
      <c r="BQ704" t="s">
        <v>74</v>
      </c>
      <c r="BR704" t="s">
        <v>98</v>
      </c>
      <c r="BS704" t="s">
        <v>10162</v>
      </c>
      <c r="BT704" t="str">
        <f>HYPERLINK("https%3A%2F%2Fwww.webofscience.com%2Fwos%2Fwoscc%2Ffull-record%2FWOS:000222202700006","View Full Record in Web of Science")</f>
        <v>View Full Record in Web of Science</v>
      </c>
    </row>
    <row r="705" spans="1:72" x14ac:dyDescent="0.15">
      <c r="A705" t="s">
        <v>122</v>
      </c>
      <c r="B705" t="s">
        <v>10163</v>
      </c>
      <c r="C705" t="s">
        <v>74</v>
      </c>
      <c r="D705" t="s">
        <v>74</v>
      </c>
      <c r="E705" t="s">
        <v>74</v>
      </c>
      <c r="F705" t="s">
        <v>10163</v>
      </c>
      <c r="G705" t="s">
        <v>74</v>
      </c>
      <c r="H705" t="s">
        <v>74</v>
      </c>
      <c r="I705" t="s">
        <v>10164</v>
      </c>
      <c r="J705" t="s">
        <v>1411</v>
      </c>
      <c r="K705" t="s">
        <v>74</v>
      </c>
      <c r="L705" t="s">
        <v>74</v>
      </c>
      <c r="M705" t="s">
        <v>79</v>
      </c>
      <c r="N705" t="s">
        <v>126</v>
      </c>
      <c r="O705" t="s">
        <v>74</v>
      </c>
      <c r="P705" t="s">
        <v>74</v>
      </c>
      <c r="Q705" t="s">
        <v>74</v>
      </c>
      <c r="R705" t="s">
        <v>74</v>
      </c>
      <c r="S705" t="s">
        <v>74</v>
      </c>
      <c r="T705" t="s">
        <v>10165</v>
      </c>
      <c r="U705" t="s">
        <v>10166</v>
      </c>
      <c r="V705" t="s">
        <v>10167</v>
      </c>
      <c r="W705" t="s">
        <v>10168</v>
      </c>
      <c r="X705" t="s">
        <v>10169</v>
      </c>
      <c r="Y705" t="s">
        <v>10170</v>
      </c>
      <c r="Z705" t="s">
        <v>10171</v>
      </c>
      <c r="AA705" t="s">
        <v>10172</v>
      </c>
      <c r="AB705" t="s">
        <v>986</v>
      </c>
      <c r="AC705" t="s">
        <v>74</v>
      </c>
      <c r="AD705" t="s">
        <v>74</v>
      </c>
      <c r="AE705" t="s">
        <v>74</v>
      </c>
      <c r="AF705" t="s">
        <v>74</v>
      </c>
      <c r="AG705">
        <v>17</v>
      </c>
      <c r="AH705">
        <v>2</v>
      </c>
      <c r="AI705">
        <v>2</v>
      </c>
      <c r="AJ705">
        <v>1</v>
      </c>
      <c r="AK705">
        <v>4</v>
      </c>
      <c r="AL705" t="s">
        <v>1418</v>
      </c>
      <c r="AM705" t="s">
        <v>1419</v>
      </c>
      <c r="AN705" t="s">
        <v>1420</v>
      </c>
      <c r="AO705" t="s">
        <v>1421</v>
      </c>
      <c r="AP705" t="s">
        <v>1422</v>
      </c>
      <c r="AQ705" t="s">
        <v>74</v>
      </c>
      <c r="AR705" t="s">
        <v>1423</v>
      </c>
      <c r="AS705" t="s">
        <v>1424</v>
      </c>
      <c r="AT705" t="s">
        <v>10148</v>
      </c>
      <c r="AU705">
        <v>2004</v>
      </c>
      <c r="AV705">
        <v>24</v>
      </c>
      <c r="AW705">
        <v>7</v>
      </c>
      <c r="AX705" t="s">
        <v>74</v>
      </c>
      <c r="AY705" t="s">
        <v>74</v>
      </c>
      <c r="AZ705" t="s">
        <v>74</v>
      </c>
      <c r="BA705" t="s">
        <v>74</v>
      </c>
      <c r="BB705">
        <v>841</v>
      </c>
      <c r="BC705">
        <v>852</v>
      </c>
      <c r="BD705" t="s">
        <v>74</v>
      </c>
      <c r="BE705" t="s">
        <v>10173</v>
      </c>
      <c r="BF705" t="str">
        <f>HYPERLINK("http://dx.doi.org/10.1002/joc.1040","http://dx.doi.org/10.1002/joc.1040")</f>
        <v>http://dx.doi.org/10.1002/joc.1040</v>
      </c>
      <c r="BG705" t="s">
        <v>74</v>
      </c>
      <c r="BH705" t="s">
        <v>74</v>
      </c>
      <c r="BI705">
        <v>12</v>
      </c>
      <c r="BJ705" t="s">
        <v>291</v>
      </c>
      <c r="BK705" t="s">
        <v>139</v>
      </c>
      <c r="BL705" t="s">
        <v>291</v>
      </c>
      <c r="BM705" t="s">
        <v>10174</v>
      </c>
      <c r="BN705" t="s">
        <v>74</v>
      </c>
      <c r="BO705" t="s">
        <v>74</v>
      </c>
      <c r="BP705" t="s">
        <v>74</v>
      </c>
      <c r="BQ705" t="s">
        <v>74</v>
      </c>
      <c r="BR705" t="s">
        <v>98</v>
      </c>
      <c r="BS705" t="s">
        <v>10175</v>
      </c>
      <c r="BT705" t="str">
        <f>HYPERLINK("https%3A%2F%2Fwww.webofscience.com%2Fwos%2Fwoscc%2Ffull-record%2FWOS:000222106100004","View Full Record in Web of Science")</f>
        <v>View Full Record in Web of Science</v>
      </c>
    </row>
    <row r="706" spans="1:72" x14ac:dyDescent="0.15">
      <c r="A706" t="s">
        <v>122</v>
      </c>
      <c r="B706" t="s">
        <v>10176</v>
      </c>
      <c r="C706" t="s">
        <v>74</v>
      </c>
      <c r="D706" t="s">
        <v>74</v>
      </c>
      <c r="E706" t="s">
        <v>74</v>
      </c>
      <c r="F706" t="s">
        <v>10176</v>
      </c>
      <c r="G706" t="s">
        <v>74</v>
      </c>
      <c r="H706" t="s">
        <v>74</v>
      </c>
      <c r="I706" t="s">
        <v>10177</v>
      </c>
      <c r="J706" t="s">
        <v>277</v>
      </c>
      <c r="K706" t="s">
        <v>74</v>
      </c>
      <c r="L706" t="s">
        <v>74</v>
      </c>
      <c r="M706" t="s">
        <v>79</v>
      </c>
      <c r="N706" t="s">
        <v>126</v>
      </c>
      <c r="O706" t="s">
        <v>74</v>
      </c>
      <c r="P706" t="s">
        <v>74</v>
      </c>
      <c r="Q706" t="s">
        <v>74</v>
      </c>
      <c r="R706" t="s">
        <v>74</v>
      </c>
      <c r="S706" t="s">
        <v>74</v>
      </c>
      <c r="T706" t="s">
        <v>10178</v>
      </c>
      <c r="U706" t="s">
        <v>10179</v>
      </c>
      <c r="V706" t="s">
        <v>10180</v>
      </c>
      <c r="W706" t="s">
        <v>10181</v>
      </c>
      <c r="X706" t="s">
        <v>5334</v>
      </c>
      <c r="Y706" t="s">
        <v>5335</v>
      </c>
      <c r="Z706" t="s">
        <v>10182</v>
      </c>
      <c r="AA706" t="s">
        <v>10183</v>
      </c>
      <c r="AB706" t="s">
        <v>10184</v>
      </c>
      <c r="AC706" t="s">
        <v>74</v>
      </c>
      <c r="AD706" t="s">
        <v>74</v>
      </c>
      <c r="AE706" t="s">
        <v>74</v>
      </c>
      <c r="AF706" t="s">
        <v>74</v>
      </c>
      <c r="AG706">
        <v>43</v>
      </c>
      <c r="AH706">
        <v>35</v>
      </c>
      <c r="AI706">
        <v>36</v>
      </c>
      <c r="AJ706">
        <v>0</v>
      </c>
      <c r="AK706">
        <v>7</v>
      </c>
      <c r="AL706" t="s">
        <v>239</v>
      </c>
      <c r="AM706" t="s">
        <v>240</v>
      </c>
      <c r="AN706" t="s">
        <v>241</v>
      </c>
      <c r="AO706" t="s">
        <v>284</v>
      </c>
      <c r="AP706" t="s">
        <v>285</v>
      </c>
      <c r="AQ706" t="s">
        <v>74</v>
      </c>
      <c r="AR706" t="s">
        <v>286</v>
      </c>
      <c r="AS706" t="s">
        <v>287</v>
      </c>
      <c r="AT706" t="s">
        <v>10148</v>
      </c>
      <c r="AU706">
        <v>2004</v>
      </c>
      <c r="AV706">
        <v>109</v>
      </c>
      <c r="AW706" t="s">
        <v>10185</v>
      </c>
      <c r="AX706" t="s">
        <v>74</v>
      </c>
      <c r="AY706" t="s">
        <v>74</v>
      </c>
      <c r="AZ706" t="s">
        <v>74</v>
      </c>
      <c r="BA706" t="s">
        <v>74</v>
      </c>
      <c r="BB706" t="s">
        <v>74</v>
      </c>
      <c r="BC706" t="s">
        <v>74</v>
      </c>
      <c r="BD706" t="s">
        <v>10186</v>
      </c>
      <c r="BE706" t="s">
        <v>10187</v>
      </c>
      <c r="BF706" t="str">
        <f>HYPERLINK("http://dx.doi.org/10.1029/2003JD004440","http://dx.doi.org/10.1029/2003JD004440")</f>
        <v>http://dx.doi.org/10.1029/2003JD004440</v>
      </c>
      <c r="BG706" t="s">
        <v>74</v>
      </c>
      <c r="BH706" t="s">
        <v>74</v>
      </c>
      <c r="BI706">
        <v>11</v>
      </c>
      <c r="BJ706" t="s">
        <v>291</v>
      </c>
      <c r="BK706" t="s">
        <v>139</v>
      </c>
      <c r="BL706" t="s">
        <v>291</v>
      </c>
      <c r="BM706" t="s">
        <v>10188</v>
      </c>
      <c r="BN706" t="s">
        <v>74</v>
      </c>
      <c r="BO706" t="s">
        <v>273</v>
      </c>
      <c r="BP706" t="s">
        <v>74</v>
      </c>
      <c r="BQ706" t="s">
        <v>74</v>
      </c>
      <c r="BR706" t="s">
        <v>98</v>
      </c>
      <c r="BS706" t="s">
        <v>10189</v>
      </c>
      <c r="BT706" t="str">
        <f>HYPERLINK("https%3A%2F%2Fwww.webofscience.com%2Fwos%2Fwoscc%2Ffull-record%2FWOS:000222325600004","View Full Record in Web of Science")</f>
        <v>View Full Record in Web of Science</v>
      </c>
    </row>
    <row r="707" spans="1:72" x14ac:dyDescent="0.15">
      <c r="A707" t="s">
        <v>122</v>
      </c>
      <c r="B707" t="s">
        <v>10190</v>
      </c>
      <c r="C707" t="s">
        <v>74</v>
      </c>
      <c r="D707" t="s">
        <v>74</v>
      </c>
      <c r="E707" t="s">
        <v>74</v>
      </c>
      <c r="F707" t="s">
        <v>10190</v>
      </c>
      <c r="G707" t="s">
        <v>74</v>
      </c>
      <c r="H707" t="s">
        <v>74</v>
      </c>
      <c r="I707" t="s">
        <v>10191</v>
      </c>
      <c r="J707" t="s">
        <v>277</v>
      </c>
      <c r="K707" t="s">
        <v>74</v>
      </c>
      <c r="L707" t="s">
        <v>74</v>
      </c>
      <c r="M707" t="s">
        <v>79</v>
      </c>
      <c r="N707" t="s">
        <v>126</v>
      </c>
      <c r="O707" t="s">
        <v>74</v>
      </c>
      <c r="P707" t="s">
        <v>74</v>
      </c>
      <c r="Q707" t="s">
        <v>74</v>
      </c>
      <c r="R707" t="s">
        <v>74</v>
      </c>
      <c r="S707" t="s">
        <v>74</v>
      </c>
      <c r="T707" t="s">
        <v>10192</v>
      </c>
      <c r="U707" t="s">
        <v>10193</v>
      </c>
      <c r="V707" t="s">
        <v>10194</v>
      </c>
      <c r="W707" t="s">
        <v>10195</v>
      </c>
      <c r="X707" t="s">
        <v>10196</v>
      </c>
      <c r="Y707" t="s">
        <v>10197</v>
      </c>
      <c r="Z707" t="s">
        <v>10198</v>
      </c>
      <c r="AA707" t="s">
        <v>10199</v>
      </c>
      <c r="AB707" t="s">
        <v>10200</v>
      </c>
      <c r="AC707" t="s">
        <v>74</v>
      </c>
      <c r="AD707" t="s">
        <v>74</v>
      </c>
      <c r="AE707" t="s">
        <v>74</v>
      </c>
      <c r="AF707" t="s">
        <v>74</v>
      </c>
      <c r="AG707">
        <v>39</v>
      </c>
      <c r="AH707">
        <v>39</v>
      </c>
      <c r="AI707">
        <v>39</v>
      </c>
      <c r="AJ707">
        <v>0</v>
      </c>
      <c r="AK707">
        <v>2</v>
      </c>
      <c r="AL707" t="s">
        <v>239</v>
      </c>
      <c r="AM707" t="s">
        <v>240</v>
      </c>
      <c r="AN707" t="s">
        <v>241</v>
      </c>
      <c r="AO707" t="s">
        <v>284</v>
      </c>
      <c r="AP707" t="s">
        <v>285</v>
      </c>
      <c r="AQ707" t="s">
        <v>74</v>
      </c>
      <c r="AR707" t="s">
        <v>286</v>
      </c>
      <c r="AS707" t="s">
        <v>287</v>
      </c>
      <c r="AT707" t="s">
        <v>10148</v>
      </c>
      <c r="AU707">
        <v>2004</v>
      </c>
      <c r="AV707">
        <v>109</v>
      </c>
      <c r="AW707" t="s">
        <v>10185</v>
      </c>
      <c r="AX707" t="s">
        <v>74</v>
      </c>
      <c r="AY707" t="s">
        <v>74</v>
      </c>
      <c r="AZ707" t="s">
        <v>74</v>
      </c>
      <c r="BA707" t="s">
        <v>74</v>
      </c>
      <c r="BB707" t="s">
        <v>74</v>
      </c>
      <c r="BC707" t="s">
        <v>74</v>
      </c>
      <c r="BD707" t="s">
        <v>10201</v>
      </c>
      <c r="BE707" t="s">
        <v>10202</v>
      </c>
      <c r="BF707" t="str">
        <f>HYPERLINK("http://dx.doi.org/10.1029/2004JD004609","http://dx.doi.org/10.1029/2004JD004609")</f>
        <v>http://dx.doi.org/10.1029/2004JD004609</v>
      </c>
      <c r="BG707" t="s">
        <v>74</v>
      </c>
      <c r="BH707" t="s">
        <v>74</v>
      </c>
      <c r="BI707">
        <v>11</v>
      </c>
      <c r="BJ707" t="s">
        <v>291</v>
      </c>
      <c r="BK707" t="s">
        <v>139</v>
      </c>
      <c r="BL707" t="s">
        <v>291</v>
      </c>
      <c r="BM707" t="s">
        <v>10188</v>
      </c>
      <c r="BN707" t="s">
        <v>74</v>
      </c>
      <c r="BO707" t="s">
        <v>273</v>
      </c>
      <c r="BP707" t="s">
        <v>74</v>
      </c>
      <c r="BQ707" t="s">
        <v>74</v>
      </c>
      <c r="BR707" t="s">
        <v>98</v>
      </c>
      <c r="BS707" t="s">
        <v>10203</v>
      </c>
      <c r="BT707" t="str">
        <f>HYPERLINK("https%3A%2F%2Fwww.webofscience.com%2Fwos%2Fwoscc%2Ffull-record%2FWOS:000222325600006","View Full Record in Web of Science")</f>
        <v>View Full Record in Web of Science</v>
      </c>
    </row>
    <row r="708" spans="1:72" x14ac:dyDescent="0.15">
      <c r="A708" t="s">
        <v>122</v>
      </c>
      <c r="B708" t="s">
        <v>10204</v>
      </c>
      <c r="C708" t="s">
        <v>74</v>
      </c>
      <c r="D708" t="s">
        <v>74</v>
      </c>
      <c r="E708" t="s">
        <v>74</v>
      </c>
      <c r="F708" t="s">
        <v>10204</v>
      </c>
      <c r="G708" t="s">
        <v>74</v>
      </c>
      <c r="H708" t="s">
        <v>74</v>
      </c>
      <c r="I708" t="s">
        <v>10205</v>
      </c>
      <c r="J708" t="s">
        <v>475</v>
      </c>
      <c r="K708" t="s">
        <v>74</v>
      </c>
      <c r="L708" t="s">
        <v>74</v>
      </c>
      <c r="M708" t="s">
        <v>79</v>
      </c>
      <c r="N708" t="s">
        <v>126</v>
      </c>
      <c r="O708" t="s">
        <v>74</v>
      </c>
      <c r="P708" t="s">
        <v>74</v>
      </c>
      <c r="Q708" t="s">
        <v>74</v>
      </c>
      <c r="R708" t="s">
        <v>74</v>
      </c>
      <c r="S708" t="s">
        <v>74</v>
      </c>
      <c r="T708" t="s">
        <v>10206</v>
      </c>
      <c r="U708" t="s">
        <v>10207</v>
      </c>
      <c r="V708" t="s">
        <v>10208</v>
      </c>
      <c r="W708" t="s">
        <v>10209</v>
      </c>
      <c r="X708" t="s">
        <v>10210</v>
      </c>
      <c r="Y708" t="s">
        <v>10211</v>
      </c>
      <c r="Z708" t="s">
        <v>10212</v>
      </c>
      <c r="AA708" t="s">
        <v>10213</v>
      </c>
      <c r="AB708" t="s">
        <v>10214</v>
      </c>
      <c r="AC708" t="s">
        <v>74</v>
      </c>
      <c r="AD708" t="s">
        <v>74</v>
      </c>
      <c r="AE708" t="s">
        <v>74</v>
      </c>
      <c r="AF708" t="s">
        <v>74</v>
      </c>
      <c r="AG708">
        <v>65</v>
      </c>
      <c r="AH708">
        <v>301</v>
      </c>
      <c r="AI708">
        <v>318</v>
      </c>
      <c r="AJ708">
        <v>3</v>
      </c>
      <c r="AK708">
        <v>12</v>
      </c>
      <c r="AL708" t="s">
        <v>239</v>
      </c>
      <c r="AM708" t="s">
        <v>240</v>
      </c>
      <c r="AN708" t="s">
        <v>241</v>
      </c>
      <c r="AO708" t="s">
        <v>484</v>
      </c>
      <c r="AP708" t="s">
        <v>485</v>
      </c>
      <c r="AQ708" t="s">
        <v>74</v>
      </c>
      <c r="AR708" t="s">
        <v>486</v>
      </c>
      <c r="AS708" t="s">
        <v>487</v>
      </c>
      <c r="AT708" t="s">
        <v>10148</v>
      </c>
      <c r="AU708">
        <v>2004</v>
      </c>
      <c r="AV708">
        <v>109</v>
      </c>
      <c r="AW708" t="s">
        <v>10215</v>
      </c>
      <c r="AX708" t="s">
        <v>74</v>
      </c>
      <c r="AY708" t="s">
        <v>74</v>
      </c>
      <c r="AZ708" t="s">
        <v>74</v>
      </c>
      <c r="BA708" t="s">
        <v>74</v>
      </c>
      <c r="BB708" t="s">
        <v>74</v>
      </c>
      <c r="BC708" t="s">
        <v>74</v>
      </c>
      <c r="BD708" t="s">
        <v>10216</v>
      </c>
      <c r="BE708" t="s">
        <v>10217</v>
      </c>
      <c r="BF708" t="str">
        <f>HYPERLINK("http://dx.doi.org/10.1029/2004JA010387","http://dx.doi.org/10.1029/2004JA010387")</f>
        <v>http://dx.doi.org/10.1029/2004JA010387</v>
      </c>
      <c r="BG708" t="s">
        <v>74</v>
      </c>
      <c r="BH708" t="s">
        <v>74</v>
      </c>
      <c r="BI708">
        <v>14</v>
      </c>
      <c r="BJ708" t="s">
        <v>491</v>
      </c>
      <c r="BK708" t="s">
        <v>139</v>
      </c>
      <c r="BL708" t="s">
        <v>491</v>
      </c>
      <c r="BM708" t="s">
        <v>10218</v>
      </c>
      <c r="BN708" t="s">
        <v>74</v>
      </c>
      <c r="BO708" t="s">
        <v>74</v>
      </c>
      <c r="BP708" t="s">
        <v>74</v>
      </c>
      <c r="BQ708" t="s">
        <v>74</v>
      </c>
      <c r="BR708" t="s">
        <v>98</v>
      </c>
      <c r="BS708" t="s">
        <v>10219</v>
      </c>
      <c r="BT708" t="str">
        <f>HYPERLINK("https%3A%2F%2Fwww.webofscience.com%2Fwos%2Fwoscc%2Ffull-record%2FWOS:000222326800003","View Full Record in Web of Science")</f>
        <v>View Full Record in Web of Science</v>
      </c>
    </row>
    <row r="709" spans="1:72" x14ac:dyDescent="0.15">
      <c r="A709" t="s">
        <v>122</v>
      </c>
      <c r="B709" t="s">
        <v>10220</v>
      </c>
      <c r="C709" t="s">
        <v>74</v>
      </c>
      <c r="D709" t="s">
        <v>74</v>
      </c>
      <c r="E709" t="s">
        <v>74</v>
      </c>
      <c r="F709" t="s">
        <v>10220</v>
      </c>
      <c r="G709" t="s">
        <v>74</v>
      </c>
      <c r="H709" t="s">
        <v>74</v>
      </c>
      <c r="I709" t="s">
        <v>10221</v>
      </c>
      <c r="J709" t="s">
        <v>10222</v>
      </c>
      <c r="K709" t="s">
        <v>74</v>
      </c>
      <c r="L709" t="s">
        <v>74</v>
      </c>
      <c r="M709" t="s">
        <v>79</v>
      </c>
      <c r="N709" t="s">
        <v>581</v>
      </c>
      <c r="O709" t="s">
        <v>74</v>
      </c>
      <c r="P709" t="s">
        <v>74</v>
      </c>
      <c r="Q709" t="s">
        <v>74</v>
      </c>
      <c r="R709" t="s">
        <v>74</v>
      </c>
      <c r="S709" t="s">
        <v>74</v>
      </c>
      <c r="T709" t="s">
        <v>10223</v>
      </c>
      <c r="U709" t="s">
        <v>10224</v>
      </c>
      <c r="V709" t="s">
        <v>10225</v>
      </c>
      <c r="W709" t="s">
        <v>10226</v>
      </c>
      <c r="X709" t="s">
        <v>10227</v>
      </c>
      <c r="Y709" t="s">
        <v>10228</v>
      </c>
      <c r="Z709" t="s">
        <v>10229</v>
      </c>
      <c r="AA709" t="s">
        <v>10230</v>
      </c>
      <c r="AB709" t="s">
        <v>10231</v>
      </c>
      <c r="AC709" t="s">
        <v>74</v>
      </c>
      <c r="AD709" t="s">
        <v>74</v>
      </c>
      <c r="AE709" t="s">
        <v>74</v>
      </c>
      <c r="AF709" t="s">
        <v>74</v>
      </c>
      <c r="AG709">
        <v>107</v>
      </c>
      <c r="AH709">
        <v>44</v>
      </c>
      <c r="AI709">
        <v>49</v>
      </c>
      <c r="AJ709">
        <v>0</v>
      </c>
      <c r="AK709">
        <v>10</v>
      </c>
      <c r="AL709" t="s">
        <v>562</v>
      </c>
      <c r="AM709" t="s">
        <v>532</v>
      </c>
      <c r="AN709" t="s">
        <v>563</v>
      </c>
      <c r="AO709" t="s">
        <v>10232</v>
      </c>
      <c r="AP709" t="s">
        <v>74</v>
      </c>
      <c r="AQ709" t="s">
        <v>74</v>
      </c>
      <c r="AR709" t="s">
        <v>10233</v>
      </c>
      <c r="AS709" t="s">
        <v>10234</v>
      </c>
      <c r="AT709" t="s">
        <v>10148</v>
      </c>
      <c r="AU709">
        <v>2004</v>
      </c>
      <c r="AV709">
        <v>168</v>
      </c>
      <c r="AW709" t="s">
        <v>538</v>
      </c>
      <c r="AX709" t="s">
        <v>74</v>
      </c>
      <c r="AY709" t="s">
        <v>74</v>
      </c>
      <c r="AZ709" t="s">
        <v>74</v>
      </c>
      <c r="BA709" t="s">
        <v>74</v>
      </c>
      <c r="BB709">
        <v>193</v>
      </c>
      <c r="BC709">
        <v>226</v>
      </c>
      <c r="BD709" t="s">
        <v>74</v>
      </c>
      <c r="BE709" t="s">
        <v>10235</v>
      </c>
      <c r="BF709" t="str">
        <f>HYPERLINK("http://dx.doi.org/10.1016/j.sedgeo.2004.03.003","http://dx.doi.org/10.1016/j.sedgeo.2004.03.003")</f>
        <v>http://dx.doi.org/10.1016/j.sedgeo.2004.03.003</v>
      </c>
      <c r="BG709" t="s">
        <v>74</v>
      </c>
      <c r="BH709" t="s">
        <v>74</v>
      </c>
      <c r="BI709">
        <v>34</v>
      </c>
      <c r="BJ709" t="s">
        <v>249</v>
      </c>
      <c r="BK709" t="s">
        <v>139</v>
      </c>
      <c r="BL709" t="s">
        <v>249</v>
      </c>
      <c r="BM709" t="s">
        <v>10236</v>
      </c>
      <c r="BN709" t="s">
        <v>74</v>
      </c>
      <c r="BO709" t="s">
        <v>74</v>
      </c>
      <c r="BP709" t="s">
        <v>74</v>
      </c>
      <c r="BQ709" t="s">
        <v>74</v>
      </c>
      <c r="BR709" t="s">
        <v>98</v>
      </c>
      <c r="BS709" t="s">
        <v>10237</v>
      </c>
      <c r="BT709" t="str">
        <f>HYPERLINK("https%3A%2F%2Fwww.webofscience.com%2Fwos%2Fwoscc%2Ffull-record%2FWOS:000222428000003","View Full Record in Web of Science")</f>
        <v>View Full Record in Web of Science</v>
      </c>
    </row>
    <row r="710" spans="1:72" x14ac:dyDescent="0.15">
      <c r="A710" t="s">
        <v>122</v>
      </c>
      <c r="B710" t="s">
        <v>758</v>
      </c>
      <c r="C710" t="s">
        <v>74</v>
      </c>
      <c r="D710" t="s">
        <v>74</v>
      </c>
      <c r="E710" t="s">
        <v>74</v>
      </c>
      <c r="F710" t="s">
        <v>758</v>
      </c>
      <c r="G710" t="s">
        <v>74</v>
      </c>
      <c r="H710" t="s">
        <v>74</v>
      </c>
      <c r="I710" t="s">
        <v>10238</v>
      </c>
      <c r="J710" t="s">
        <v>230</v>
      </c>
      <c r="K710" t="s">
        <v>74</v>
      </c>
      <c r="L710" t="s">
        <v>74</v>
      </c>
      <c r="M710" t="s">
        <v>79</v>
      </c>
      <c r="N710" t="s">
        <v>126</v>
      </c>
      <c r="O710" t="s">
        <v>74</v>
      </c>
      <c r="P710" t="s">
        <v>74</v>
      </c>
      <c r="Q710" t="s">
        <v>74</v>
      </c>
      <c r="R710" t="s">
        <v>74</v>
      </c>
      <c r="S710" t="s">
        <v>74</v>
      </c>
      <c r="T710" t="s">
        <v>74</v>
      </c>
      <c r="U710" t="s">
        <v>10239</v>
      </c>
      <c r="V710" t="s">
        <v>10240</v>
      </c>
      <c r="W710" t="s">
        <v>10241</v>
      </c>
      <c r="X710" t="s">
        <v>764</v>
      </c>
      <c r="Y710" t="s">
        <v>10242</v>
      </c>
      <c r="Z710" t="s">
        <v>10243</v>
      </c>
      <c r="AA710" t="s">
        <v>10244</v>
      </c>
      <c r="AB710" t="s">
        <v>74</v>
      </c>
      <c r="AC710" t="s">
        <v>74</v>
      </c>
      <c r="AD710" t="s">
        <v>74</v>
      </c>
      <c r="AE710" t="s">
        <v>74</v>
      </c>
      <c r="AF710" t="s">
        <v>74</v>
      </c>
      <c r="AG710">
        <v>19</v>
      </c>
      <c r="AH710">
        <v>22</v>
      </c>
      <c r="AI710">
        <v>23</v>
      </c>
      <c r="AJ710">
        <v>0</v>
      </c>
      <c r="AK710">
        <v>7</v>
      </c>
      <c r="AL710" t="s">
        <v>239</v>
      </c>
      <c r="AM710" t="s">
        <v>240</v>
      </c>
      <c r="AN710" t="s">
        <v>241</v>
      </c>
      <c r="AO710" t="s">
        <v>242</v>
      </c>
      <c r="AP710" t="s">
        <v>74</v>
      </c>
      <c r="AQ710" t="s">
        <v>74</v>
      </c>
      <c r="AR710" t="s">
        <v>243</v>
      </c>
      <c r="AS710" t="s">
        <v>244</v>
      </c>
      <c r="AT710" t="s">
        <v>10245</v>
      </c>
      <c r="AU710">
        <v>2004</v>
      </c>
      <c r="AV710">
        <v>31</v>
      </c>
      <c r="AW710">
        <v>11</v>
      </c>
      <c r="AX710" t="s">
        <v>74</v>
      </c>
      <c r="AY710" t="s">
        <v>74</v>
      </c>
      <c r="AZ710" t="s">
        <v>74</v>
      </c>
      <c r="BA710" t="s">
        <v>74</v>
      </c>
      <c r="BB710" t="s">
        <v>74</v>
      </c>
      <c r="BC710" t="s">
        <v>74</v>
      </c>
      <c r="BD710" t="s">
        <v>10246</v>
      </c>
      <c r="BE710" t="s">
        <v>10247</v>
      </c>
      <c r="BF710" t="str">
        <f>HYPERLINK("http://dx.doi.org/10.1029/2004GL019624","http://dx.doi.org/10.1029/2004GL019624")</f>
        <v>http://dx.doi.org/10.1029/2004GL019624</v>
      </c>
      <c r="BG710" t="s">
        <v>74</v>
      </c>
      <c r="BH710" t="s">
        <v>74</v>
      </c>
      <c r="BI710">
        <v>4</v>
      </c>
      <c r="BJ710" t="s">
        <v>248</v>
      </c>
      <c r="BK710" t="s">
        <v>139</v>
      </c>
      <c r="BL710" t="s">
        <v>249</v>
      </c>
      <c r="BM710" t="s">
        <v>10248</v>
      </c>
      <c r="BN710" t="s">
        <v>74</v>
      </c>
      <c r="BO710" t="s">
        <v>207</v>
      </c>
      <c r="BP710" t="s">
        <v>74</v>
      </c>
      <c r="BQ710" t="s">
        <v>74</v>
      </c>
      <c r="BR710" t="s">
        <v>98</v>
      </c>
      <c r="BS710" t="s">
        <v>10249</v>
      </c>
      <c r="BT710" t="str">
        <f>HYPERLINK("https%3A%2F%2Fwww.webofscience.com%2Fwos%2Fwoscc%2Ffull-record%2FWOS:000222085200002","View Full Record in Web of Science")</f>
        <v>View Full Record in Web of Science</v>
      </c>
    </row>
    <row r="711" spans="1:72" x14ac:dyDescent="0.15">
      <c r="A711" t="s">
        <v>122</v>
      </c>
      <c r="B711" t="s">
        <v>10250</v>
      </c>
      <c r="C711" t="s">
        <v>74</v>
      </c>
      <c r="D711" t="s">
        <v>74</v>
      </c>
      <c r="E711" t="s">
        <v>74</v>
      </c>
      <c r="F711" t="s">
        <v>10250</v>
      </c>
      <c r="G711" t="s">
        <v>74</v>
      </c>
      <c r="H711" t="s">
        <v>74</v>
      </c>
      <c r="I711" t="s">
        <v>10251</v>
      </c>
      <c r="J711" t="s">
        <v>230</v>
      </c>
      <c r="K711" t="s">
        <v>74</v>
      </c>
      <c r="L711" t="s">
        <v>74</v>
      </c>
      <c r="M711" t="s">
        <v>79</v>
      </c>
      <c r="N711" t="s">
        <v>126</v>
      </c>
      <c r="O711" t="s">
        <v>74</v>
      </c>
      <c r="P711" t="s">
        <v>74</v>
      </c>
      <c r="Q711" t="s">
        <v>74</v>
      </c>
      <c r="R711" t="s">
        <v>74</v>
      </c>
      <c r="S711" t="s">
        <v>74</v>
      </c>
      <c r="T711" t="s">
        <v>74</v>
      </c>
      <c r="U711" t="s">
        <v>10252</v>
      </c>
      <c r="V711" t="s">
        <v>10253</v>
      </c>
      <c r="W711" t="s">
        <v>10254</v>
      </c>
      <c r="X711" t="s">
        <v>10255</v>
      </c>
      <c r="Y711" t="s">
        <v>10256</v>
      </c>
      <c r="Z711" t="s">
        <v>10257</v>
      </c>
      <c r="AA711" t="s">
        <v>74</v>
      </c>
      <c r="AB711" t="s">
        <v>74</v>
      </c>
      <c r="AC711" t="s">
        <v>74</v>
      </c>
      <c r="AD711" t="s">
        <v>74</v>
      </c>
      <c r="AE711" t="s">
        <v>74</v>
      </c>
      <c r="AF711" t="s">
        <v>74</v>
      </c>
      <c r="AG711">
        <v>21</v>
      </c>
      <c r="AH711">
        <v>41</v>
      </c>
      <c r="AI711">
        <v>44</v>
      </c>
      <c r="AJ711">
        <v>1</v>
      </c>
      <c r="AK711">
        <v>25</v>
      </c>
      <c r="AL711" t="s">
        <v>239</v>
      </c>
      <c r="AM711" t="s">
        <v>240</v>
      </c>
      <c r="AN711" t="s">
        <v>241</v>
      </c>
      <c r="AO711" t="s">
        <v>242</v>
      </c>
      <c r="AP711" t="s">
        <v>341</v>
      </c>
      <c r="AQ711" t="s">
        <v>74</v>
      </c>
      <c r="AR711" t="s">
        <v>243</v>
      </c>
      <c r="AS711" t="s">
        <v>244</v>
      </c>
      <c r="AT711" t="s">
        <v>10245</v>
      </c>
      <c r="AU711">
        <v>2004</v>
      </c>
      <c r="AV711">
        <v>31</v>
      </c>
      <c r="AW711">
        <v>11</v>
      </c>
      <c r="AX711" t="s">
        <v>74</v>
      </c>
      <c r="AY711" t="s">
        <v>74</v>
      </c>
      <c r="AZ711" t="s">
        <v>74</v>
      </c>
      <c r="BA711" t="s">
        <v>74</v>
      </c>
      <c r="BB711" t="s">
        <v>74</v>
      </c>
      <c r="BC711" t="s">
        <v>74</v>
      </c>
      <c r="BD711" t="s">
        <v>10258</v>
      </c>
      <c r="BE711" t="s">
        <v>10259</v>
      </c>
      <c r="BF711" t="str">
        <f>HYPERLINK("http://dx.doi.org/10.1029/2004GL020039","http://dx.doi.org/10.1029/2004GL020039")</f>
        <v>http://dx.doi.org/10.1029/2004GL020039</v>
      </c>
      <c r="BG711" t="s">
        <v>74</v>
      </c>
      <c r="BH711" t="s">
        <v>74</v>
      </c>
      <c r="BI711">
        <v>4</v>
      </c>
      <c r="BJ711" t="s">
        <v>248</v>
      </c>
      <c r="BK711" t="s">
        <v>139</v>
      </c>
      <c r="BL711" t="s">
        <v>249</v>
      </c>
      <c r="BM711" t="s">
        <v>10248</v>
      </c>
      <c r="BN711" t="s">
        <v>74</v>
      </c>
      <c r="BO711" t="s">
        <v>74</v>
      </c>
      <c r="BP711" t="s">
        <v>74</v>
      </c>
      <c r="BQ711" t="s">
        <v>74</v>
      </c>
      <c r="BR711" t="s">
        <v>98</v>
      </c>
      <c r="BS711" t="s">
        <v>10260</v>
      </c>
      <c r="BT711" t="str">
        <f>HYPERLINK("https%3A%2F%2Fwww.webofscience.com%2Fwos%2Fwoscc%2Ffull-record%2FWOS:000222085200005","View Full Record in Web of Science")</f>
        <v>View Full Record in Web of Science</v>
      </c>
    </row>
    <row r="712" spans="1:72" x14ac:dyDescent="0.15">
      <c r="A712" t="s">
        <v>122</v>
      </c>
      <c r="B712" t="s">
        <v>10261</v>
      </c>
      <c r="C712" t="s">
        <v>74</v>
      </c>
      <c r="D712" t="s">
        <v>74</v>
      </c>
      <c r="E712" t="s">
        <v>74</v>
      </c>
      <c r="F712" t="s">
        <v>10261</v>
      </c>
      <c r="G712" t="s">
        <v>74</v>
      </c>
      <c r="H712" t="s">
        <v>74</v>
      </c>
      <c r="I712" t="s">
        <v>10262</v>
      </c>
      <c r="J712" t="s">
        <v>3890</v>
      </c>
      <c r="K712" t="s">
        <v>74</v>
      </c>
      <c r="L712" t="s">
        <v>74</v>
      </c>
      <c r="M712" t="s">
        <v>79</v>
      </c>
      <c r="N712" t="s">
        <v>126</v>
      </c>
      <c r="O712" t="s">
        <v>74</v>
      </c>
      <c r="P712" t="s">
        <v>74</v>
      </c>
      <c r="Q712" t="s">
        <v>74</v>
      </c>
      <c r="R712" t="s">
        <v>74</v>
      </c>
      <c r="S712" t="s">
        <v>74</v>
      </c>
      <c r="T712" t="s">
        <v>74</v>
      </c>
      <c r="U712" t="s">
        <v>10263</v>
      </c>
      <c r="V712" t="s">
        <v>10264</v>
      </c>
      <c r="W712" t="s">
        <v>10265</v>
      </c>
      <c r="X712" t="s">
        <v>10266</v>
      </c>
      <c r="Y712" t="s">
        <v>7489</v>
      </c>
      <c r="Z712" t="s">
        <v>3234</v>
      </c>
      <c r="AA712" t="s">
        <v>74</v>
      </c>
      <c r="AB712" t="s">
        <v>74</v>
      </c>
      <c r="AC712" t="s">
        <v>74</v>
      </c>
      <c r="AD712" t="s">
        <v>74</v>
      </c>
      <c r="AE712" t="s">
        <v>74</v>
      </c>
      <c r="AF712" t="s">
        <v>74</v>
      </c>
      <c r="AG712">
        <v>21</v>
      </c>
      <c r="AH712">
        <v>45</v>
      </c>
      <c r="AI712">
        <v>55</v>
      </c>
      <c r="AJ712">
        <v>0</v>
      </c>
      <c r="AK712">
        <v>9</v>
      </c>
      <c r="AL712" t="s">
        <v>3893</v>
      </c>
      <c r="AM712" t="s">
        <v>240</v>
      </c>
      <c r="AN712" t="s">
        <v>3894</v>
      </c>
      <c r="AO712" t="s">
        <v>3895</v>
      </c>
      <c r="AP712" t="s">
        <v>3909</v>
      </c>
      <c r="AQ712" t="s">
        <v>74</v>
      </c>
      <c r="AR712" t="s">
        <v>3890</v>
      </c>
      <c r="AS712" t="s">
        <v>3896</v>
      </c>
      <c r="AT712" t="s">
        <v>10267</v>
      </c>
      <c r="AU712">
        <v>2004</v>
      </c>
      <c r="AV712">
        <v>304</v>
      </c>
      <c r="AW712">
        <v>5677</v>
      </c>
      <c r="AX712" t="s">
        <v>74</v>
      </c>
      <c r="AY712" t="s">
        <v>74</v>
      </c>
      <c r="AZ712" t="s">
        <v>74</v>
      </c>
      <c r="BA712" t="s">
        <v>74</v>
      </c>
      <c r="BB712">
        <v>1659</v>
      </c>
      <c r="BC712">
        <v>1662</v>
      </c>
      <c r="BD712" t="s">
        <v>74</v>
      </c>
      <c r="BE712" t="s">
        <v>10268</v>
      </c>
      <c r="BF712" t="str">
        <f>HYPERLINK("http://dx.doi.org/10.1126/science.1093726","http://dx.doi.org/10.1126/science.1093726")</f>
        <v>http://dx.doi.org/10.1126/science.1093726</v>
      </c>
      <c r="BG712" t="s">
        <v>74</v>
      </c>
      <c r="BH712" t="s">
        <v>74</v>
      </c>
      <c r="BI712">
        <v>4</v>
      </c>
      <c r="BJ712" t="s">
        <v>381</v>
      </c>
      <c r="BK712" t="s">
        <v>139</v>
      </c>
      <c r="BL712" t="s">
        <v>382</v>
      </c>
      <c r="BM712" t="s">
        <v>10269</v>
      </c>
      <c r="BN712">
        <v>15192226</v>
      </c>
      <c r="BO712" t="s">
        <v>74</v>
      </c>
      <c r="BP712" t="s">
        <v>74</v>
      </c>
      <c r="BQ712" t="s">
        <v>74</v>
      </c>
      <c r="BR712" t="s">
        <v>98</v>
      </c>
      <c r="BS712" t="s">
        <v>10270</v>
      </c>
      <c r="BT712" t="str">
        <f>HYPERLINK("https%3A%2F%2Fwww.webofscience.com%2Fwos%2Fwoscc%2Ffull-record%2FWOS:000221934300047","View Full Record in Web of Science")</f>
        <v>View Full Record in Web of Science</v>
      </c>
    </row>
    <row r="713" spans="1:72" x14ac:dyDescent="0.15">
      <c r="A713" t="s">
        <v>122</v>
      </c>
      <c r="B713" t="s">
        <v>10271</v>
      </c>
      <c r="C713" t="s">
        <v>74</v>
      </c>
      <c r="D713" t="s">
        <v>74</v>
      </c>
      <c r="E713" t="s">
        <v>74</v>
      </c>
      <c r="F713" t="s">
        <v>10271</v>
      </c>
      <c r="G713" t="s">
        <v>74</v>
      </c>
      <c r="H713" t="s">
        <v>74</v>
      </c>
      <c r="I713" t="s">
        <v>10272</v>
      </c>
      <c r="J713" t="s">
        <v>10273</v>
      </c>
      <c r="K713" t="s">
        <v>74</v>
      </c>
      <c r="L713" t="s">
        <v>74</v>
      </c>
      <c r="M713" t="s">
        <v>79</v>
      </c>
      <c r="N713" t="s">
        <v>5039</v>
      </c>
      <c r="O713" t="s">
        <v>74</v>
      </c>
      <c r="P713" t="s">
        <v>74</v>
      </c>
      <c r="Q713" t="s">
        <v>74</v>
      </c>
      <c r="R713" t="s">
        <v>74</v>
      </c>
      <c r="S713" t="s">
        <v>74</v>
      </c>
      <c r="T713" t="s">
        <v>74</v>
      </c>
      <c r="U713" t="s">
        <v>74</v>
      </c>
      <c r="V713" t="s">
        <v>74</v>
      </c>
      <c r="W713" t="s">
        <v>74</v>
      </c>
      <c r="X713" t="s">
        <v>74</v>
      </c>
      <c r="Y713" t="s">
        <v>74</v>
      </c>
      <c r="Z713" t="s">
        <v>74</v>
      </c>
      <c r="AA713" t="s">
        <v>74</v>
      </c>
      <c r="AB713" t="s">
        <v>74</v>
      </c>
      <c r="AC713" t="s">
        <v>74</v>
      </c>
      <c r="AD713" t="s">
        <v>74</v>
      </c>
      <c r="AE713" t="s">
        <v>74</v>
      </c>
      <c r="AF713" t="s">
        <v>74</v>
      </c>
      <c r="AG713">
        <v>1</v>
      </c>
      <c r="AH713">
        <v>0</v>
      </c>
      <c r="AI713">
        <v>0</v>
      </c>
      <c r="AJ713">
        <v>0</v>
      </c>
      <c r="AK713">
        <v>0</v>
      </c>
      <c r="AL713" t="s">
        <v>10274</v>
      </c>
      <c r="AM713" t="s">
        <v>10275</v>
      </c>
      <c r="AN713" t="s">
        <v>10276</v>
      </c>
      <c r="AO713" t="s">
        <v>10277</v>
      </c>
      <c r="AP713" t="s">
        <v>74</v>
      </c>
      <c r="AQ713" t="s">
        <v>74</v>
      </c>
      <c r="AR713" t="s">
        <v>10278</v>
      </c>
      <c r="AS713" t="s">
        <v>10279</v>
      </c>
      <c r="AT713" t="s">
        <v>10267</v>
      </c>
      <c r="AU713">
        <v>2004</v>
      </c>
      <c r="AV713" t="s">
        <v>74</v>
      </c>
      <c r="AW713">
        <v>5280</v>
      </c>
      <c r="AX713" t="s">
        <v>74</v>
      </c>
      <c r="AY713" t="s">
        <v>74</v>
      </c>
      <c r="AZ713" t="s">
        <v>74</v>
      </c>
      <c r="BA713" t="s">
        <v>74</v>
      </c>
      <c r="BB713">
        <v>15</v>
      </c>
      <c r="BC713">
        <v>15</v>
      </c>
      <c r="BD713" t="s">
        <v>74</v>
      </c>
      <c r="BE713" t="s">
        <v>74</v>
      </c>
      <c r="BF713" t="s">
        <v>74</v>
      </c>
      <c r="BG713" t="s">
        <v>74</v>
      </c>
      <c r="BH713" t="s">
        <v>74</v>
      </c>
      <c r="BI713">
        <v>1</v>
      </c>
      <c r="BJ713" t="s">
        <v>10280</v>
      </c>
      <c r="BK713" t="s">
        <v>3527</v>
      </c>
      <c r="BL713" t="s">
        <v>10281</v>
      </c>
      <c r="BM713" t="s">
        <v>10282</v>
      </c>
      <c r="BN713" t="s">
        <v>74</v>
      </c>
      <c r="BO713" t="s">
        <v>74</v>
      </c>
      <c r="BP713" t="s">
        <v>74</v>
      </c>
      <c r="BQ713" t="s">
        <v>74</v>
      </c>
      <c r="BR713" t="s">
        <v>98</v>
      </c>
      <c r="BS713" t="s">
        <v>10283</v>
      </c>
      <c r="BT713" t="str">
        <f>HYPERLINK("https%3A%2F%2Fwww.webofscience.com%2Fwos%2Fwoscc%2Ffull-record%2FWOS:000222384100017","View Full Record in Web of Science")</f>
        <v>View Full Record in Web of Science</v>
      </c>
    </row>
    <row r="714" spans="1:72" x14ac:dyDescent="0.15">
      <c r="A714" t="s">
        <v>122</v>
      </c>
      <c r="B714" t="s">
        <v>10284</v>
      </c>
      <c r="C714" t="s">
        <v>74</v>
      </c>
      <c r="D714" t="s">
        <v>74</v>
      </c>
      <c r="E714" t="s">
        <v>74</v>
      </c>
      <c r="F714" t="s">
        <v>10284</v>
      </c>
      <c r="G714" t="s">
        <v>74</v>
      </c>
      <c r="H714" t="s">
        <v>74</v>
      </c>
      <c r="I714" t="s">
        <v>10285</v>
      </c>
      <c r="J714" t="s">
        <v>5312</v>
      </c>
      <c r="K714" t="s">
        <v>74</v>
      </c>
      <c r="L714" t="s">
        <v>74</v>
      </c>
      <c r="M714" t="s">
        <v>79</v>
      </c>
      <c r="N714" t="s">
        <v>126</v>
      </c>
      <c r="O714" t="s">
        <v>74</v>
      </c>
      <c r="P714" t="s">
        <v>74</v>
      </c>
      <c r="Q714" t="s">
        <v>74</v>
      </c>
      <c r="R714" t="s">
        <v>74</v>
      </c>
      <c r="S714" t="s">
        <v>74</v>
      </c>
      <c r="T714" t="s">
        <v>10286</v>
      </c>
      <c r="U714" t="s">
        <v>74</v>
      </c>
      <c r="V714" t="s">
        <v>10287</v>
      </c>
      <c r="W714" t="s">
        <v>10288</v>
      </c>
      <c r="X714" t="s">
        <v>10289</v>
      </c>
      <c r="Y714" t="s">
        <v>10290</v>
      </c>
      <c r="Z714" t="s">
        <v>10291</v>
      </c>
      <c r="AA714" t="s">
        <v>10292</v>
      </c>
      <c r="AB714" t="s">
        <v>74</v>
      </c>
      <c r="AC714" t="s">
        <v>74</v>
      </c>
      <c r="AD714" t="s">
        <v>74</v>
      </c>
      <c r="AE714" t="s">
        <v>74</v>
      </c>
      <c r="AF714" t="s">
        <v>74</v>
      </c>
      <c r="AG714">
        <v>17</v>
      </c>
      <c r="AH714">
        <v>7</v>
      </c>
      <c r="AI714">
        <v>8</v>
      </c>
      <c r="AJ714">
        <v>0</v>
      </c>
      <c r="AK714">
        <v>0</v>
      </c>
      <c r="AL714" t="s">
        <v>5319</v>
      </c>
      <c r="AM714" t="s">
        <v>5320</v>
      </c>
      <c r="AN714" t="s">
        <v>5321</v>
      </c>
      <c r="AO714" t="s">
        <v>5322</v>
      </c>
      <c r="AP714" t="s">
        <v>5323</v>
      </c>
      <c r="AQ714" t="s">
        <v>74</v>
      </c>
      <c r="AR714" t="s">
        <v>5312</v>
      </c>
      <c r="AS714" t="s">
        <v>5324</v>
      </c>
      <c r="AT714" t="s">
        <v>10267</v>
      </c>
      <c r="AU714">
        <v>2004</v>
      </c>
      <c r="AV714" t="s">
        <v>74</v>
      </c>
      <c r="AW714">
        <v>535</v>
      </c>
      <c r="AX714" t="s">
        <v>74</v>
      </c>
      <c r="AY714" t="s">
        <v>74</v>
      </c>
      <c r="AZ714" t="s">
        <v>74</v>
      </c>
      <c r="BA714" t="s">
        <v>74</v>
      </c>
      <c r="BB714">
        <v>1</v>
      </c>
      <c r="BC714">
        <v>12</v>
      </c>
      <c r="BD714" t="s">
        <v>74</v>
      </c>
      <c r="BE714" t="s">
        <v>74</v>
      </c>
      <c r="BF714" t="s">
        <v>74</v>
      </c>
      <c r="BG714" t="s">
        <v>74</v>
      </c>
      <c r="BH714" t="s">
        <v>74</v>
      </c>
      <c r="BI714">
        <v>12</v>
      </c>
      <c r="BJ714" t="s">
        <v>205</v>
      </c>
      <c r="BK714" t="s">
        <v>139</v>
      </c>
      <c r="BL714" t="s">
        <v>205</v>
      </c>
      <c r="BM714" t="s">
        <v>10293</v>
      </c>
      <c r="BN714" t="s">
        <v>74</v>
      </c>
      <c r="BO714" t="s">
        <v>74</v>
      </c>
      <c r="BP714" t="s">
        <v>74</v>
      </c>
      <c r="BQ714" t="s">
        <v>74</v>
      </c>
      <c r="BR714" t="s">
        <v>98</v>
      </c>
      <c r="BS714" t="s">
        <v>10294</v>
      </c>
      <c r="BT714" t="str">
        <f>HYPERLINK("https%3A%2F%2Fwww.webofscience.com%2Fwos%2Fwoscc%2Ffull-record%2FWOS:000225212500001","View Full Record in Web of Science")</f>
        <v>View Full Record in Web of Science</v>
      </c>
    </row>
    <row r="715" spans="1:72" x14ac:dyDescent="0.15">
      <c r="A715" t="s">
        <v>122</v>
      </c>
      <c r="B715" t="s">
        <v>10295</v>
      </c>
      <c r="C715" t="s">
        <v>74</v>
      </c>
      <c r="D715" t="s">
        <v>74</v>
      </c>
      <c r="E715" t="s">
        <v>74</v>
      </c>
      <c r="F715" t="s">
        <v>10295</v>
      </c>
      <c r="G715" t="s">
        <v>74</v>
      </c>
      <c r="H715" t="s">
        <v>74</v>
      </c>
      <c r="I715" t="s">
        <v>10296</v>
      </c>
      <c r="J715" t="s">
        <v>3947</v>
      </c>
      <c r="K715" t="s">
        <v>74</v>
      </c>
      <c r="L715" t="s">
        <v>74</v>
      </c>
      <c r="M715" t="s">
        <v>79</v>
      </c>
      <c r="N715" t="s">
        <v>126</v>
      </c>
      <c r="O715" t="s">
        <v>74</v>
      </c>
      <c r="P715" t="s">
        <v>74</v>
      </c>
      <c r="Q715" t="s">
        <v>74</v>
      </c>
      <c r="R715" t="s">
        <v>74</v>
      </c>
      <c r="S715" t="s">
        <v>74</v>
      </c>
      <c r="T715" t="s">
        <v>74</v>
      </c>
      <c r="U715" t="s">
        <v>10297</v>
      </c>
      <c r="V715" t="s">
        <v>10298</v>
      </c>
      <c r="W715" t="s">
        <v>10299</v>
      </c>
      <c r="X715" t="s">
        <v>10300</v>
      </c>
      <c r="Y715" t="s">
        <v>10301</v>
      </c>
      <c r="Z715" t="s">
        <v>10302</v>
      </c>
      <c r="AA715" t="s">
        <v>10303</v>
      </c>
      <c r="AB715" t="s">
        <v>10304</v>
      </c>
      <c r="AC715" t="s">
        <v>74</v>
      </c>
      <c r="AD715" t="s">
        <v>74</v>
      </c>
      <c r="AE715" t="s">
        <v>74</v>
      </c>
      <c r="AF715" t="s">
        <v>74</v>
      </c>
      <c r="AG715">
        <v>24</v>
      </c>
      <c r="AH715">
        <v>18</v>
      </c>
      <c r="AI715">
        <v>21</v>
      </c>
      <c r="AJ715">
        <v>1</v>
      </c>
      <c r="AK715">
        <v>7</v>
      </c>
      <c r="AL715" t="s">
        <v>2170</v>
      </c>
      <c r="AM715" t="s">
        <v>240</v>
      </c>
      <c r="AN715" t="s">
        <v>2171</v>
      </c>
      <c r="AO715" t="s">
        <v>3955</v>
      </c>
      <c r="AP715" t="s">
        <v>74</v>
      </c>
      <c r="AQ715" t="s">
        <v>74</v>
      </c>
      <c r="AR715" t="s">
        <v>3956</v>
      </c>
      <c r="AS715" t="s">
        <v>3957</v>
      </c>
      <c r="AT715" t="s">
        <v>10305</v>
      </c>
      <c r="AU715">
        <v>2004</v>
      </c>
      <c r="AV715">
        <v>108</v>
      </c>
      <c r="AW715">
        <v>23</v>
      </c>
      <c r="AX715" t="s">
        <v>74</v>
      </c>
      <c r="AY715" t="s">
        <v>74</v>
      </c>
      <c r="AZ715" t="s">
        <v>74</v>
      </c>
      <c r="BA715" t="s">
        <v>74</v>
      </c>
      <c r="BB715">
        <v>7950</v>
      </c>
      <c r="BC715">
        <v>7954</v>
      </c>
      <c r="BD715" t="s">
        <v>74</v>
      </c>
      <c r="BE715" t="s">
        <v>10306</v>
      </c>
      <c r="BF715" t="str">
        <f>HYPERLINK("http://dx.doi.org/10.1021/jp031319j","http://dx.doi.org/10.1021/jp031319j")</f>
        <v>http://dx.doi.org/10.1021/jp031319j</v>
      </c>
      <c r="BG715" t="s">
        <v>74</v>
      </c>
      <c r="BH715" t="s">
        <v>74</v>
      </c>
      <c r="BI715">
        <v>5</v>
      </c>
      <c r="BJ715" t="s">
        <v>3959</v>
      </c>
      <c r="BK715" t="s">
        <v>139</v>
      </c>
      <c r="BL715" t="s">
        <v>1151</v>
      </c>
      <c r="BM715" t="s">
        <v>10307</v>
      </c>
      <c r="BN715" t="s">
        <v>74</v>
      </c>
      <c r="BO715" t="s">
        <v>74</v>
      </c>
      <c r="BP715" t="s">
        <v>74</v>
      </c>
      <c r="BQ715" t="s">
        <v>74</v>
      </c>
      <c r="BR715" t="s">
        <v>98</v>
      </c>
      <c r="BS715" t="s">
        <v>10308</v>
      </c>
      <c r="BT715" t="str">
        <f>HYPERLINK("https%3A%2F%2Fwww.webofscience.com%2Fwos%2Fwoscc%2Ffull-record%2FWOS:000221833400061","View Full Record in Web of Science")</f>
        <v>View Full Record in Web of Science</v>
      </c>
    </row>
    <row r="716" spans="1:72" x14ac:dyDescent="0.15">
      <c r="A716" t="s">
        <v>122</v>
      </c>
      <c r="B716" t="s">
        <v>10309</v>
      </c>
      <c r="C716" t="s">
        <v>74</v>
      </c>
      <c r="D716" t="s">
        <v>74</v>
      </c>
      <c r="E716" t="s">
        <v>74</v>
      </c>
      <c r="F716" t="s">
        <v>10309</v>
      </c>
      <c r="G716" t="s">
        <v>74</v>
      </c>
      <c r="H716" t="s">
        <v>10310</v>
      </c>
      <c r="I716" t="s">
        <v>10311</v>
      </c>
      <c r="J716" t="s">
        <v>365</v>
      </c>
      <c r="K716" t="s">
        <v>74</v>
      </c>
      <c r="L716" t="s">
        <v>74</v>
      </c>
      <c r="M716" t="s">
        <v>79</v>
      </c>
      <c r="N716" t="s">
        <v>126</v>
      </c>
      <c r="O716" t="s">
        <v>74</v>
      </c>
      <c r="P716" t="s">
        <v>74</v>
      </c>
      <c r="Q716" t="s">
        <v>74</v>
      </c>
      <c r="R716" t="s">
        <v>74</v>
      </c>
      <c r="S716" t="s">
        <v>74</v>
      </c>
      <c r="T716" t="s">
        <v>74</v>
      </c>
      <c r="U716" t="s">
        <v>10312</v>
      </c>
      <c r="V716" t="s">
        <v>10313</v>
      </c>
      <c r="W716" t="s">
        <v>10314</v>
      </c>
      <c r="X716" t="s">
        <v>10315</v>
      </c>
      <c r="Y716" t="s">
        <v>10316</v>
      </c>
      <c r="Z716" t="s">
        <v>74</v>
      </c>
      <c r="AA716" t="s">
        <v>10317</v>
      </c>
      <c r="AB716" t="s">
        <v>10318</v>
      </c>
      <c r="AC716" t="s">
        <v>74</v>
      </c>
      <c r="AD716" t="s">
        <v>74</v>
      </c>
      <c r="AE716" t="s">
        <v>74</v>
      </c>
      <c r="AF716" t="s">
        <v>74</v>
      </c>
      <c r="AG716">
        <v>41</v>
      </c>
      <c r="AH716">
        <v>1412</v>
      </c>
      <c r="AI716">
        <v>1596</v>
      </c>
      <c r="AJ716">
        <v>11</v>
      </c>
      <c r="AK716">
        <v>545</v>
      </c>
      <c r="AL716" t="s">
        <v>374</v>
      </c>
      <c r="AM716" t="s">
        <v>375</v>
      </c>
      <c r="AN716" t="s">
        <v>376</v>
      </c>
      <c r="AO716" t="s">
        <v>377</v>
      </c>
      <c r="AP716" t="s">
        <v>378</v>
      </c>
      <c r="AQ716" t="s">
        <v>74</v>
      </c>
      <c r="AR716" t="s">
        <v>365</v>
      </c>
      <c r="AS716" t="s">
        <v>379</v>
      </c>
      <c r="AT716" t="s">
        <v>10305</v>
      </c>
      <c r="AU716">
        <v>2004</v>
      </c>
      <c r="AV716">
        <v>429</v>
      </c>
      <c r="AW716">
        <v>6992</v>
      </c>
      <c r="AX716" t="s">
        <v>74</v>
      </c>
      <c r="AY716" t="s">
        <v>74</v>
      </c>
      <c r="AZ716" t="s">
        <v>74</v>
      </c>
      <c r="BA716" t="s">
        <v>74</v>
      </c>
      <c r="BB716">
        <v>623</v>
      </c>
      <c r="BC716">
        <v>628</v>
      </c>
      <c r="BD716" t="s">
        <v>74</v>
      </c>
      <c r="BE716" t="s">
        <v>10319</v>
      </c>
      <c r="BF716" t="str">
        <f>HYPERLINK("http://dx.doi.org/10.1038/nature02599","http://dx.doi.org/10.1038/nature02599")</f>
        <v>http://dx.doi.org/10.1038/nature02599</v>
      </c>
      <c r="BG716" t="s">
        <v>74</v>
      </c>
      <c r="BH716" t="s">
        <v>74</v>
      </c>
      <c r="BI716">
        <v>6</v>
      </c>
      <c r="BJ716" t="s">
        <v>381</v>
      </c>
      <c r="BK716" t="s">
        <v>139</v>
      </c>
      <c r="BL716" t="s">
        <v>382</v>
      </c>
      <c r="BM716" t="s">
        <v>10320</v>
      </c>
      <c r="BN716">
        <v>15190344</v>
      </c>
      <c r="BO716" t="s">
        <v>771</v>
      </c>
      <c r="BP716" t="s">
        <v>74</v>
      </c>
      <c r="BQ716" t="s">
        <v>74</v>
      </c>
      <c r="BR716" t="s">
        <v>98</v>
      </c>
      <c r="BS716" t="s">
        <v>10321</v>
      </c>
      <c r="BT716" t="str">
        <f>HYPERLINK("https%3A%2F%2Fwww.webofscience.com%2Fwos%2Fwoscc%2Ffull-record%2FWOS:000221912600031","View Full Record in Web of Science")</f>
        <v>View Full Record in Web of Science</v>
      </c>
    </row>
    <row r="717" spans="1:72" x14ac:dyDescent="0.15">
      <c r="A717" t="s">
        <v>122</v>
      </c>
      <c r="B717" t="s">
        <v>10322</v>
      </c>
      <c r="C717" t="s">
        <v>74</v>
      </c>
      <c r="D717" t="s">
        <v>74</v>
      </c>
      <c r="E717" t="s">
        <v>74</v>
      </c>
      <c r="F717" t="s">
        <v>10322</v>
      </c>
      <c r="G717" t="s">
        <v>74</v>
      </c>
      <c r="H717" t="s">
        <v>74</v>
      </c>
      <c r="I717" t="s">
        <v>10323</v>
      </c>
      <c r="J717" t="s">
        <v>2283</v>
      </c>
      <c r="K717" t="s">
        <v>74</v>
      </c>
      <c r="L717" t="s">
        <v>74</v>
      </c>
      <c r="M717" t="s">
        <v>79</v>
      </c>
      <c r="N717" t="s">
        <v>126</v>
      </c>
      <c r="O717" t="s">
        <v>74</v>
      </c>
      <c r="P717" t="s">
        <v>74</v>
      </c>
      <c r="Q717" t="s">
        <v>74</v>
      </c>
      <c r="R717" t="s">
        <v>74</v>
      </c>
      <c r="S717" t="s">
        <v>74</v>
      </c>
      <c r="T717" t="s">
        <v>10324</v>
      </c>
      <c r="U717" t="s">
        <v>10325</v>
      </c>
      <c r="V717" t="s">
        <v>10326</v>
      </c>
      <c r="W717" t="s">
        <v>2861</v>
      </c>
      <c r="X717" t="s">
        <v>2862</v>
      </c>
      <c r="Y717" t="s">
        <v>10327</v>
      </c>
      <c r="Z717" t="s">
        <v>10328</v>
      </c>
      <c r="AA717" t="s">
        <v>2865</v>
      </c>
      <c r="AB717" t="s">
        <v>74</v>
      </c>
      <c r="AC717" t="s">
        <v>74</v>
      </c>
      <c r="AD717" t="s">
        <v>74</v>
      </c>
      <c r="AE717" t="s">
        <v>74</v>
      </c>
      <c r="AF717" t="s">
        <v>74</v>
      </c>
      <c r="AG717">
        <v>20</v>
      </c>
      <c r="AH717">
        <v>24</v>
      </c>
      <c r="AI717">
        <v>26</v>
      </c>
      <c r="AJ717">
        <v>1</v>
      </c>
      <c r="AK717">
        <v>18</v>
      </c>
      <c r="AL717" t="s">
        <v>531</v>
      </c>
      <c r="AM717" t="s">
        <v>532</v>
      </c>
      <c r="AN717" t="s">
        <v>533</v>
      </c>
      <c r="AO717" t="s">
        <v>2294</v>
      </c>
      <c r="AP717" t="s">
        <v>2295</v>
      </c>
      <c r="AQ717" t="s">
        <v>74</v>
      </c>
      <c r="AR717" t="s">
        <v>2296</v>
      </c>
      <c r="AS717" t="s">
        <v>2297</v>
      </c>
      <c r="AT717" t="s">
        <v>10305</v>
      </c>
      <c r="AU717">
        <v>2004</v>
      </c>
      <c r="AV717">
        <v>208</v>
      </c>
      <c r="AW717" t="s">
        <v>538</v>
      </c>
      <c r="AX717" t="s">
        <v>74</v>
      </c>
      <c r="AY717" t="s">
        <v>74</v>
      </c>
      <c r="AZ717" t="s">
        <v>74</v>
      </c>
      <c r="BA717" t="s">
        <v>74</v>
      </c>
      <c r="BB717">
        <v>195</v>
      </c>
      <c r="BC717">
        <v>205</v>
      </c>
      <c r="BD717" t="s">
        <v>74</v>
      </c>
      <c r="BE717" t="s">
        <v>10329</v>
      </c>
      <c r="BF717" t="str">
        <f>HYPERLINK("http://dx.doi.org/10.1016/j.palaeo.2004.03.004","http://dx.doi.org/10.1016/j.palaeo.2004.03.004")</f>
        <v>http://dx.doi.org/10.1016/j.palaeo.2004.03.004</v>
      </c>
      <c r="BG717" t="s">
        <v>74</v>
      </c>
      <c r="BH717" t="s">
        <v>74</v>
      </c>
      <c r="BI717">
        <v>11</v>
      </c>
      <c r="BJ717" t="s">
        <v>2299</v>
      </c>
      <c r="BK717" t="s">
        <v>139</v>
      </c>
      <c r="BL717" t="s">
        <v>2300</v>
      </c>
      <c r="BM717" t="s">
        <v>10330</v>
      </c>
      <c r="BN717" t="s">
        <v>74</v>
      </c>
      <c r="BO717" t="s">
        <v>74</v>
      </c>
      <c r="BP717" t="s">
        <v>74</v>
      </c>
      <c r="BQ717" t="s">
        <v>74</v>
      </c>
      <c r="BR717" t="s">
        <v>98</v>
      </c>
      <c r="BS717" t="s">
        <v>10331</v>
      </c>
      <c r="BT717" t="str">
        <f>HYPERLINK("https%3A%2F%2Fwww.webofscience.com%2Fwos%2Fwoscc%2Ffull-record%2FWOS:000222192400002","View Full Record in Web of Science")</f>
        <v>View Full Record in Web of Science</v>
      </c>
    </row>
    <row r="718" spans="1:72" x14ac:dyDescent="0.15">
      <c r="A718" t="s">
        <v>122</v>
      </c>
      <c r="B718" t="s">
        <v>10332</v>
      </c>
      <c r="C718" t="s">
        <v>74</v>
      </c>
      <c r="D718" t="s">
        <v>74</v>
      </c>
      <c r="E718" t="s">
        <v>74</v>
      </c>
      <c r="F718" t="s">
        <v>10332</v>
      </c>
      <c r="G718" t="s">
        <v>74</v>
      </c>
      <c r="H718" t="s">
        <v>74</v>
      </c>
      <c r="I718" t="s">
        <v>10333</v>
      </c>
      <c r="J718" t="s">
        <v>230</v>
      </c>
      <c r="K718" t="s">
        <v>74</v>
      </c>
      <c r="L718" t="s">
        <v>74</v>
      </c>
      <c r="M718" t="s">
        <v>79</v>
      </c>
      <c r="N718" t="s">
        <v>126</v>
      </c>
      <c r="O718" t="s">
        <v>74</v>
      </c>
      <c r="P718" t="s">
        <v>74</v>
      </c>
      <c r="Q718" t="s">
        <v>74</v>
      </c>
      <c r="R718" t="s">
        <v>74</v>
      </c>
      <c r="S718" t="s">
        <v>74</v>
      </c>
      <c r="T718" t="s">
        <v>74</v>
      </c>
      <c r="U718" t="s">
        <v>10334</v>
      </c>
      <c r="V718" t="s">
        <v>10335</v>
      </c>
      <c r="W718" t="s">
        <v>10336</v>
      </c>
      <c r="X718" t="s">
        <v>10337</v>
      </c>
      <c r="Y718" t="s">
        <v>10338</v>
      </c>
      <c r="Z718" t="s">
        <v>10339</v>
      </c>
      <c r="AA718" t="s">
        <v>74</v>
      </c>
      <c r="AB718" t="s">
        <v>10340</v>
      </c>
      <c r="AC718" t="s">
        <v>74</v>
      </c>
      <c r="AD718" t="s">
        <v>74</v>
      </c>
      <c r="AE718" t="s">
        <v>74</v>
      </c>
      <c r="AF718" t="s">
        <v>74</v>
      </c>
      <c r="AG718">
        <v>17</v>
      </c>
      <c r="AH718">
        <v>68</v>
      </c>
      <c r="AI718">
        <v>76</v>
      </c>
      <c r="AJ718">
        <v>2</v>
      </c>
      <c r="AK718">
        <v>34</v>
      </c>
      <c r="AL718" t="s">
        <v>239</v>
      </c>
      <c r="AM718" t="s">
        <v>240</v>
      </c>
      <c r="AN718" t="s">
        <v>241</v>
      </c>
      <c r="AO718" t="s">
        <v>242</v>
      </c>
      <c r="AP718" t="s">
        <v>341</v>
      </c>
      <c r="AQ718" t="s">
        <v>74</v>
      </c>
      <c r="AR718" t="s">
        <v>243</v>
      </c>
      <c r="AS718" t="s">
        <v>244</v>
      </c>
      <c r="AT718" t="s">
        <v>10341</v>
      </c>
      <c r="AU718">
        <v>2004</v>
      </c>
      <c r="AV718">
        <v>31</v>
      </c>
      <c r="AW718">
        <v>11</v>
      </c>
      <c r="AX718" t="s">
        <v>74</v>
      </c>
      <c r="AY718" t="s">
        <v>74</v>
      </c>
      <c r="AZ718" t="s">
        <v>74</v>
      </c>
      <c r="BA718" t="s">
        <v>74</v>
      </c>
      <c r="BB718" t="s">
        <v>74</v>
      </c>
      <c r="BC718" t="s">
        <v>74</v>
      </c>
      <c r="BD718" t="s">
        <v>10342</v>
      </c>
      <c r="BE718" t="s">
        <v>10343</v>
      </c>
      <c r="BF718" t="str">
        <f>HYPERLINK("http://dx.doi.org/10.1029/2004GL019863","http://dx.doi.org/10.1029/2004GL019863")</f>
        <v>http://dx.doi.org/10.1029/2004GL019863</v>
      </c>
      <c r="BG718" t="s">
        <v>74</v>
      </c>
      <c r="BH718" t="s">
        <v>74</v>
      </c>
      <c r="BI718">
        <v>4</v>
      </c>
      <c r="BJ718" t="s">
        <v>248</v>
      </c>
      <c r="BK718" t="s">
        <v>139</v>
      </c>
      <c r="BL718" t="s">
        <v>249</v>
      </c>
      <c r="BM718" t="s">
        <v>10344</v>
      </c>
      <c r="BN718" t="s">
        <v>74</v>
      </c>
      <c r="BO718" t="s">
        <v>771</v>
      </c>
      <c r="BP718" t="s">
        <v>74</v>
      </c>
      <c r="BQ718" t="s">
        <v>74</v>
      </c>
      <c r="BR718" t="s">
        <v>98</v>
      </c>
      <c r="BS718" t="s">
        <v>10345</v>
      </c>
      <c r="BT718" t="str">
        <f>HYPERLINK("https%3A%2F%2Fwww.webofscience.com%2Fwos%2Fwoscc%2Ffull-record%2FWOS:000222084600003","View Full Record in Web of Science")</f>
        <v>View Full Record in Web of Science</v>
      </c>
    </row>
    <row r="719" spans="1:72" x14ac:dyDescent="0.15">
      <c r="A719" t="s">
        <v>122</v>
      </c>
      <c r="B719" t="s">
        <v>10346</v>
      </c>
      <c r="C719" t="s">
        <v>74</v>
      </c>
      <c r="D719" t="s">
        <v>74</v>
      </c>
      <c r="E719" t="s">
        <v>74</v>
      </c>
      <c r="F719" t="s">
        <v>10346</v>
      </c>
      <c r="G719" t="s">
        <v>74</v>
      </c>
      <c r="H719" t="s">
        <v>74</v>
      </c>
      <c r="I719" t="s">
        <v>10347</v>
      </c>
      <c r="J719" t="s">
        <v>10348</v>
      </c>
      <c r="K719" t="s">
        <v>74</v>
      </c>
      <c r="L719" t="s">
        <v>74</v>
      </c>
      <c r="M719" t="s">
        <v>79</v>
      </c>
      <c r="N719" t="s">
        <v>126</v>
      </c>
      <c r="O719" t="s">
        <v>74</v>
      </c>
      <c r="P719" t="s">
        <v>74</v>
      </c>
      <c r="Q719" t="s">
        <v>74</v>
      </c>
      <c r="R719" t="s">
        <v>74</v>
      </c>
      <c r="S719" t="s">
        <v>74</v>
      </c>
      <c r="T719" t="s">
        <v>74</v>
      </c>
      <c r="U719" t="s">
        <v>74</v>
      </c>
      <c r="V719" t="s">
        <v>10349</v>
      </c>
      <c r="W719" t="s">
        <v>10350</v>
      </c>
      <c r="X719" t="s">
        <v>10351</v>
      </c>
      <c r="Y719" t="s">
        <v>10352</v>
      </c>
      <c r="Z719" t="s">
        <v>10353</v>
      </c>
      <c r="AA719" t="s">
        <v>10354</v>
      </c>
      <c r="AB719" t="s">
        <v>10355</v>
      </c>
      <c r="AC719" t="s">
        <v>74</v>
      </c>
      <c r="AD719" t="s">
        <v>74</v>
      </c>
      <c r="AE719" t="s">
        <v>74</v>
      </c>
      <c r="AF719" t="s">
        <v>74</v>
      </c>
      <c r="AG719">
        <v>7</v>
      </c>
      <c r="AH719">
        <v>13</v>
      </c>
      <c r="AI719">
        <v>14</v>
      </c>
      <c r="AJ719">
        <v>0</v>
      </c>
      <c r="AK719">
        <v>6</v>
      </c>
      <c r="AL719" t="s">
        <v>1273</v>
      </c>
      <c r="AM719" t="s">
        <v>197</v>
      </c>
      <c r="AN719" t="s">
        <v>1274</v>
      </c>
      <c r="AO719" t="s">
        <v>10356</v>
      </c>
      <c r="AP719" t="s">
        <v>74</v>
      </c>
      <c r="AQ719" t="s">
        <v>74</v>
      </c>
      <c r="AR719" t="s">
        <v>10357</v>
      </c>
      <c r="AS719" t="s">
        <v>10358</v>
      </c>
      <c r="AT719" t="s">
        <v>10359</v>
      </c>
      <c r="AU719">
        <v>2004</v>
      </c>
      <c r="AV719">
        <v>45</v>
      </c>
      <c r="AW719">
        <v>24</v>
      </c>
      <c r="AX719" t="s">
        <v>74</v>
      </c>
      <c r="AY719" t="s">
        <v>74</v>
      </c>
      <c r="AZ719" t="s">
        <v>74</v>
      </c>
      <c r="BA719" t="s">
        <v>74</v>
      </c>
      <c r="BB719">
        <v>4707</v>
      </c>
      <c r="BC719">
        <v>4710</v>
      </c>
      <c r="BD719" t="s">
        <v>74</v>
      </c>
      <c r="BE719" t="s">
        <v>10360</v>
      </c>
      <c r="BF719" t="str">
        <f>HYPERLINK("http://dx.doi.org/10.1016/S0040-4039(04)00882-2","http://dx.doi.org/10.1016/S0040-4039(04)00882-2")</f>
        <v>http://dx.doi.org/10.1016/S0040-4039(04)00882-2</v>
      </c>
      <c r="BG719" t="s">
        <v>74</v>
      </c>
      <c r="BH719" t="s">
        <v>74</v>
      </c>
      <c r="BI719">
        <v>4</v>
      </c>
      <c r="BJ719" t="s">
        <v>10361</v>
      </c>
      <c r="BK719" t="s">
        <v>4701</v>
      </c>
      <c r="BL719" t="s">
        <v>1151</v>
      </c>
      <c r="BM719" t="s">
        <v>10362</v>
      </c>
      <c r="BN719" t="s">
        <v>74</v>
      </c>
      <c r="BO719" t="s">
        <v>74</v>
      </c>
      <c r="BP719" t="s">
        <v>74</v>
      </c>
      <c r="BQ719" t="s">
        <v>74</v>
      </c>
      <c r="BR719" t="s">
        <v>98</v>
      </c>
      <c r="BS719" t="s">
        <v>10363</v>
      </c>
      <c r="BT719" t="str">
        <f>HYPERLINK("https%3A%2F%2Fwww.webofscience.com%2Fwos%2Fwoscc%2Ffull-record%2FWOS:000221801100026","View Full Record in Web of Science")</f>
        <v>View Full Record in Web of Science</v>
      </c>
    </row>
    <row r="720" spans="1:72" x14ac:dyDescent="0.15">
      <c r="A720" t="s">
        <v>122</v>
      </c>
      <c r="B720" t="s">
        <v>10364</v>
      </c>
      <c r="C720" t="s">
        <v>74</v>
      </c>
      <c r="D720" t="s">
        <v>74</v>
      </c>
      <c r="E720" t="s">
        <v>74</v>
      </c>
      <c r="F720" t="s">
        <v>10364</v>
      </c>
      <c r="G720" t="s">
        <v>74</v>
      </c>
      <c r="H720" t="s">
        <v>74</v>
      </c>
      <c r="I720" t="s">
        <v>10365</v>
      </c>
      <c r="J720" t="s">
        <v>8376</v>
      </c>
      <c r="K720" t="s">
        <v>74</v>
      </c>
      <c r="L720" t="s">
        <v>74</v>
      </c>
      <c r="M720" t="s">
        <v>79</v>
      </c>
      <c r="N720" t="s">
        <v>126</v>
      </c>
      <c r="O720" t="s">
        <v>74</v>
      </c>
      <c r="P720" t="s">
        <v>74</v>
      </c>
      <c r="Q720" t="s">
        <v>74</v>
      </c>
      <c r="R720" t="s">
        <v>74</v>
      </c>
      <c r="S720" t="s">
        <v>74</v>
      </c>
      <c r="T720" t="s">
        <v>10366</v>
      </c>
      <c r="U720" t="s">
        <v>10367</v>
      </c>
      <c r="V720" t="s">
        <v>10368</v>
      </c>
      <c r="W720" t="s">
        <v>10369</v>
      </c>
      <c r="X720" t="s">
        <v>10370</v>
      </c>
      <c r="Y720" t="s">
        <v>10371</v>
      </c>
      <c r="Z720" t="s">
        <v>10372</v>
      </c>
      <c r="AA720" t="s">
        <v>74</v>
      </c>
      <c r="AB720" t="s">
        <v>74</v>
      </c>
      <c r="AC720" t="s">
        <v>74</v>
      </c>
      <c r="AD720" t="s">
        <v>74</v>
      </c>
      <c r="AE720" t="s">
        <v>74</v>
      </c>
      <c r="AF720" t="s">
        <v>74</v>
      </c>
      <c r="AG720">
        <v>96</v>
      </c>
      <c r="AH720">
        <v>24</v>
      </c>
      <c r="AI720">
        <v>30</v>
      </c>
      <c r="AJ720">
        <v>0</v>
      </c>
      <c r="AK720">
        <v>10</v>
      </c>
      <c r="AL720" t="s">
        <v>239</v>
      </c>
      <c r="AM720" t="s">
        <v>240</v>
      </c>
      <c r="AN720" t="s">
        <v>241</v>
      </c>
      <c r="AO720" t="s">
        <v>8386</v>
      </c>
      <c r="AP720" t="s">
        <v>74</v>
      </c>
      <c r="AQ720" t="s">
        <v>74</v>
      </c>
      <c r="AR720" t="s">
        <v>8388</v>
      </c>
      <c r="AS720" t="s">
        <v>8389</v>
      </c>
      <c r="AT720" t="s">
        <v>10373</v>
      </c>
      <c r="AU720">
        <v>2004</v>
      </c>
      <c r="AV720">
        <v>18</v>
      </c>
      <c r="AW720">
        <v>2</v>
      </c>
      <c r="AX720" t="s">
        <v>74</v>
      </c>
      <c r="AY720" t="s">
        <v>74</v>
      </c>
      <c r="AZ720" t="s">
        <v>74</v>
      </c>
      <c r="BA720" t="s">
        <v>74</v>
      </c>
      <c r="BB720" t="s">
        <v>74</v>
      </c>
      <c r="BC720" t="s">
        <v>74</v>
      </c>
      <c r="BD720" t="s">
        <v>10374</v>
      </c>
      <c r="BE720" t="s">
        <v>10375</v>
      </c>
      <c r="BF720" t="str">
        <f>HYPERLINK("http://dx.doi.org/10.1029/2003GB002151","http://dx.doi.org/10.1029/2003GB002151")</f>
        <v>http://dx.doi.org/10.1029/2003GB002151</v>
      </c>
      <c r="BG720" t="s">
        <v>74</v>
      </c>
      <c r="BH720" t="s">
        <v>74</v>
      </c>
      <c r="BI720">
        <v>19</v>
      </c>
      <c r="BJ720" t="s">
        <v>8393</v>
      </c>
      <c r="BK720" t="s">
        <v>139</v>
      </c>
      <c r="BL720" t="s">
        <v>8394</v>
      </c>
      <c r="BM720" t="s">
        <v>10376</v>
      </c>
      <c r="BN720" t="s">
        <v>74</v>
      </c>
      <c r="BO720" t="s">
        <v>2469</v>
      </c>
      <c r="BP720" t="s">
        <v>74</v>
      </c>
      <c r="BQ720" t="s">
        <v>74</v>
      </c>
      <c r="BR720" t="s">
        <v>98</v>
      </c>
      <c r="BS720" t="s">
        <v>10377</v>
      </c>
      <c r="BT720" t="str">
        <f>HYPERLINK("https%3A%2F%2Fwww.webofscience.com%2Fwos%2Fwoscc%2Ffull-record%2FWOS:000221953100001","View Full Record in Web of Science")</f>
        <v>View Full Record in Web of Science</v>
      </c>
    </row>
    <row r="721" spans="1:72" x14ac:dyDescent="0.15">
      <c r="A721" t="s">
        <v>122</v>
      </c>
      <c r="B721" t="s">
        <v>10378</v>
      </c>
      <c r="C721" t="s">
        <v>74</v>
      </c>
      <c r="D721" t="s">
        <v>74</v>
      </c>
      <c r="E721" t="s">
        <v>74</v>
      </c>
      <c r="F721" t="s">
        <v>10378</v>
      </c>
      <c r="G721" t="s">
        <v>74</v>
      </c>
      <c r="H721" t="s">
        <v>74</v>
      </c>
      <c r="I721" t="s">
        <v>10379</v>
      </c>
      <c r="J721" t="s">
        <v>230</v>
      </c>
      <c r="K721" t="s">
        <v>74</v>
      </c>
      <c r="L721" t="s">
        <v>74</v>
      </c>
      <c r="M721" t="s">
        <v>79</v>
      </c>
      <c r="N721" t="s">
        <v>126</v>
      </c>
      <c r="O721" t="s">
        <v>74</v>
      </c>
      <c r="P721" t="s">
        <v>74</v>
      </c>
      <c r="Q721" t="s">
        <v>74</v>
      </c>
      <c r="R721" t="s">
        <v>74</v>
      </c>
      <c r="S721" t="s">
        <v>74</v>
      </c>
      <c r="T721" t="s">
        <v>74</v>
      </c>
      <c r="U721" t="s">
        <v>10380</v>
      </c>
      <c r="V721" t="s">
        <v>10381</v>
      </c>
      <c r="W721" t="s">
        <v>10382</v>
      </c>
      <c r="X721" t="s">
        <v>8951</v>
      </c>
      <c r="Y721" t="s">
        <v>10383</v>
      </c>
      <c r="Z721" t="s">
        <v>10384</v>
      </c>
      <c r="AA721" t="s">
        <v>10385</v>
      </c>
      <c r="AB721" t="s">
        <v>10386</v>
      </c>
      <c r="AC721" t="s">
        <v>74</v>
      </c>
      <c r="AD721" t="s">
        <v>74</v>
      </c>
      <c r="AE721" t="s">
        <v>74</v>
      </c>
      <c r="AF721" t="s">
        <v>74</v>
      </c>
      <c r="AG721">
        <v>18</v>
      </c>
      <c r="AH721">
        <v>5</v>
      </c>
      <c r="AI721">
        <v>5</v>
      </c>
      <c r="AJ721">
        <v>0</v>
      </c>
      <c r="AK721">
        <v>1</v>
      </c>
      <c r="AL721" t="s">
        <v>239</v>
      </c>
      <c r="AM721" t="s">
        <v>240</v>
      </c>
      <c r="AN721" t="s">
        <v>241</v>
      </c>
      <c r="AO721" t="s">
        <v>242</v>
      </c>
      <c r="AP721" t="s">
        <v>341</v>
      </c>
      <c r="AQ721" t="s">
        <v>74</v>
      </c>
      <c r="AR721" t="s">
        <v>243</v>
      </c>
      <c r="AS721" t="s">
        <v>244</v>
      </c>
      <c r="AT721" t="s">
        <v>10387</v>
      </c>
      <c r="AU721">
        <v>2004</v>
      </c>
      <c r="AV721">
        <v>31</v>
      </c>
      <c r="AW721">
        <v>11</v>
      </c>
      <c r="AX721" t="s">
        <v>74</v>
      </c>
      <c r="AY721" t="s">
        <v>74</v>
      </c>
      <c r="AZ721" t="s">
        <v>74</v>
      </c>
      <c r="BA721" t="s">
        <v>74</v>
      </c>
      <c r="BB721" t="s">
        <v>74</v>
      </c>
      <c r="BC721" t="s">
        <v>74</v>
      </c>
      <c r="BD721" t="s">
        <v>10388</v>
      </c>
      <c r="BE721" t="s">
        <v>10389</v>
      </c>
      <c r="BF721" t="str">
        <f>HYPERLINK("http://dx.doi.org/10.1029/2004GL019565","http://dx.doi.org/10.1029/2004GL019565")</f>
        <v>http://dx.doi.org/10.1029/2004GL019565</v>
      </c>
      <c r="BG721" t="s">
        <v>74</v>
      </c>
      <c r="BH721" t="s">
        <v>74</v>
      </c>
      <c r="BI721">
        <v>5</v>
      </c>
      <c r="BJ721" t="s">
        <v>248</v>
      </c>
      <c r="BK721" t="s">
        <v>139</v>
      </c>
      <c r="BL721" t="s">
        <v>249</v>
      </c>
      <c r="BM721" t="s">
        <v>10390</v>
      </c>
      <c r="BN721" t="s">
        <v>74</v>
      </c>
      <c r="BO721" t="s">
        <v>74</v>
      </c>
      <c r="BP721" t="s">
        <v>74</v>
      </c>
      <c r="BQ721" t="s">
        <v>74</v>
      </c>
      <c r="BR721" t="s">
        <v>98</v>
      </c>
      <c r="BS721" t="s">
        <v>10391</v>
      </c>
      <c r="BT721" t="str">
        <f>HYPERLINK("https%3A%2F%2Fwww.webofscience.com%2Fwos%2Fwoscc%2Ffull-record%2FWOS:000221952600003","View Full Record in Web of Science")</f>
        <v>View Full Record in Web of Science</v>
      </c>
    </row>
    <row r="722" spans="1:72" x14ac:dyDescent="0.15">
      <c r="A722" t="s">
        <v>122</v>
      </c>
      <c r="B722" t="s">
        <v>10392</v>
      </c>
      <c r="C722" t="s">
        <v>74</v>
      </c>
      <c r="D722" t="s">
        <v>74</v>
      </c>
      <c r="E722" t="s">
        <v>74</v>
      </c>
      <c r="F722" t="s">
        <v>10392</v>
      </c>
      <c r="G722" t="s">
        <v>74</v>
      </c>
      <c r="H722" t="s">
        <v>74</v>
      </c>
      <c r="I722" t="s">
        <v>10393</v>
      </c>
      <c r="J722" t="s">
        <v>277</v>
      </c>
      <c r="K722" t="s">
        <v>74</v>
      </c>
      <c r="L722" t="s">
        <v>74</v>
      </c>
      <c r="M722" t="s">
        <v>79</v>
      </c>
      <c r="N722" t="s">
        <v>126</v>
      </c>
      <c r="O722" t="s">
        <v>74</v>
      </c>
      <c r="P722" t="s">
        <v>74</v>
      </c>
      <c r="Q722" t="s">
        <v>74</v>
      </c>
      <c r="R722" t="s">
        <v>74</v>
      </c>
      <c r="S722" t="s">
        <v>74</v>
      </c>
      <c r="T722" t="s">
        <v>10394</v>
      </c>
      <c r="U722" t="s">
        <v>10395</v>
      </c>
      <c r="V722" t="s">
        <v>10396</v>
      </c>
      <c r="W722" t="s">
        <v>10397</v>
      </c>
      <c r="X722" t="s">
        <v>10398</v>
      </c>
      <c r="Y722" t="s">
        <v>502</v>
      </c>
      <c r="Z722" t="s">
        <v>10399</v>
      </c>
      <c r="AA722" t="s">
        <v>10400</v>
      </c>
      <c r="AB722" t="s">
        <v>10401</v>
      </c>
      <c r="AC722" t="s">
        <v>74</v>
      </c>
      <c r="AD722" t="s">
        <v>74</v>
      </c>
      <c r="AE722" t="s">
        <v>74</v>
      </c>
      <c r="AF722" t="s">
        <v>74</v>
      </c>
      <c r="AG722">
        <v>28</v>
      </c>
      <c r="AH722">
        <v>47</v>
      </c>
      <c r="AI722">
        <v>50</v>
      </c>
      <c r="AJ722">
        <v>0</v>
      </c>
      <c r="AK722">
        <v>11</v>
      </c>
      <c r="AL722" t="s">
        <v>239</v>
      </c>
      <c r="AM722" t="s">
        <v>240</v>
      </c>
      <c r="AN722" t="s">
        <v>241</v>
      </c>
      <c r="AO722" t="s">
        <v>284</v>
      </c>
      <c r="AP722" t="s">
        <v>285</v>
      </c>
      <c r="AQ722" t="s">
        <v>74</v>
      </c>
      <c r="AR722" t="s">
        <v>286</v>
      </c>
      <c r="AS722" t="s">
        <v>287</v>
      </c>
      <c r="AT722" t="s">
        <v>10387</v>
      </c>
      <c r="AU722">
        <v>2004</v>
      </c>
      <c r="AV722">
        <v>109</v>
      </c>
      <c r="AW722" t="s">
        <v>10185</v>
      </c>
      <c r="AX722" t="s">
        <v>74</v>
      </c>
      <c r="AY722" t="s">
        <v>74</v>
      </c>
      <c r="AZ722" t="s">
        <v>74</v>
      </c>
      <c r="BA722" t="s">
        <v>74</v>
      </c>
      <c r="BB722" t="s">
        <v>74</v>
      </c>
      <c r="BC722" t="s">
        <v>74</v>
      </c>
      <c r="BD722" t="s">
        <v>10402</v>
      </c>
      <c r="BE722" t="s">
        <v>10403</v>
      </c>
      <c r="BF722" t="str">
        <f>HYPERLINK("http://dx.doi.org/10.1029/2003JD004361","http://dx.doi.org/10.1029/2003JD004361")</f>
        <v>http://dx.doi.org/10.1029/2003JD004361</v>
      </c>
      <c r="BG722" t="s">
        <v>74</v>
      </c>
      <c r="BH722" t="s">
        <v>74</v>
      </c>
      <c r="BI722">
        <v>12</v>
      </c>
      <c r="BJ722" t="s">
        <v>291</v>
      </c>
      <c r="BK722" t="s">
        <v>139</v>
      </c>
      <c r="BL722" t="s">
        <v>291</v>
      </c>
      <c r="BM722" t="s">
        <v>10404</v>
      </c>
      <c r="BN722" t="s">
        <v>74</v>
      </c>
      <c r="BO722" t="s">
        <v>273</v>
      </c>
      <c r="BP722" t="s">
        <v>74</v>
      </c>
      <c r="BQ722" t="s">
        <v>74</v>
      </c>
      <c r="BR722" t="s">
        <v>98</v>
      </c>
      <c r="BS722" t="s">
        <v>10405</v>
      </c>
      <c r="BT722" t="str">
        <f>HYPERLINK("https%3A%2F%2Fwww.webofscience.com%2Fwos%2Fwoscc%2Ffull-record%2FWOS:000221953500002","View Full Record in Web of Science")</f>
        <v>View Full Record in Web of Science</v>
      </c>
    </row>
    <row r="723" spans="1:72" x14ac:dyDescent="0.15">
      <c r="A723" t="s">
        <v>122</v>
      </c>
      <c r="B723" t="s">
        <v>10406</v>
      </c>
      <c r="C723" t="s">
        <v>74</v>
      </c>
      <c r="D723" t="s">
        <v>74</v>
      </c>
      <c r="E723" t="s">
        <v>74</v>
      </c>
      <c r="F723" t="s">
        <v>10406</v>
      </c>
      <c r="G723" t="s">
        <v>74</v>
      </c>
      <c r="H723" t="s">
        <v>74</v>
      </c>
      <c r="I723" t="s">
        <v>10407</v>
      </c>
      <c r="J723" t="s">
        <v>643</v>
      </c>
      <c r="K723" t="s">
        <v>74</v>
      </c>
      <c r="L723" t="s">
        <v>74</v>
      </c>
      <c r="M723" t="s">
        <v>79</v>
      </c>
      <c r="N723" t="s">
        <v>126</v>
      </c>
      <c r="O723" t="s">
        <v>74</v>
      </c>
      <c r="P723" t="s">
        <v>74</v>
      </c>
      <c r="Q723" t="s">
        <v>74</v>
      </c>
      <c r="R723" t="s">
        <v>74</v>
      </c>
      <c r="S723" t="s">
        <v>74</v>
      </c>
      <c r="T723" t="s">
        <v>10408</v>
      </c>
      <c r="U723" t="s">
        <v>10409</v>
      </c>
      <c r="V723" t="s">
        <v>10410</v>
      </c>
      <c r="W723" t="s">
        <v>10411</v>
      </c>
      <c r="X723" t="s">
        <v>10412</v>
      </c>
      <c r="Y723" t="s">
        <v>10413</v>
      </c>
      <c r="Z723" t="s">
        <v>10414</v>
      </c>
      <c r="AA723" t="s">
        <v>10415</v>
      </c>
      <c r="AB723" t="s">
        <v>10416</v>
      </c>
      <c r="AC723" t="s">
        <v>74</v>
      </c>
      <c r="AD723" t="s">
        <v>74</v>
      </c>
      <c r="AE723" t="s">
        <v>74</v>
      </c>
      <c r="AF723" t="s">
        <v>74</v>
      </c>
      <c r="AG723">
        <v>24</v>
      </c>
      <c r="AH723">
        <v>26</v>
      </c>
      <c r="AI723">
        <v>28</v>
      </c>
      <c r="AJ723">
        <v>0</v>
      </c>
      <c r="AK723">
        <v>4</v>
      </c>
      <c r="AL723" t="s">
        <v>239</v>
      </c>
      <c r="AM723" t="s">
        <v>240</v>
      </c>
      <c r="AN723" t="s">
        <v>241</v>
      </c>
      <c r="AO723" t="s">
        <v>653</v>
      </c>
      <c r="AP723" t="s">
        <v>654</v>
      </c>
      <c r="AQ723" t="s">
        <v>74</v>
      </c>
      <c r="AR723" t="s">
        <v>655</v>
      </c>
      <c r="AS723" t="s">
        <v>656</v>
      </c>
      <c r="AT723" t="s">
        <v>10417</v>
      </c>
      <c r="AU723">
        <v>2004</v>
      </c>
      <c r="AV723">
        <v>109</v>
      </c>
      <c r="AW723" t="s">
        <v>10091</v>
      </c>
      <c r="AX723" t="s">
        <v>74</v>
      </c>
      <c r="AY723" t="s">
        <v>74</v>
      </c>
      <c r="AZ723" t="s">
        <v>74</v>
      </c>
      <c r="BA723" t="s">
        <v>74</v>
      </c>
      <c r="BB723" t="s">
        <v>74</v>
      </c>
      <c r="BC723" t="s">
        <v>74</v>
      </c>
      <c r="BD723" t="s">
        <v>10418</v>
      </c>
      <c r="BE723" t="s">
        <v>10419</v>
      </c>
      <c r="BF723" t="str">
        <f>HYPERLINK("http://dx.doi.org/10.1029/2003JC002176","http://dx.doi.org/10.1029/2003JC002176")</f>
        <v>http://dx.doi.org/10.1029/2003JC002176</v>
      </c>
      <c r="BG723" t="s">
        <v>74</v>
      </c>
      <c r="BH723" t="s">
        <v>74</v>
      </c>
      <c r="BI723">
        <v>12</v>
      </c>
      <c r="BJ723" t="s">
        <v>660</v>
      </c>
      <c r="BK723" t="s">
        <v>139</v>
      </c>
      <c r="BL723" t="s">
        <v>660</v>
      </c>
      <c r="BM723" t="s">
        <v>10420</v>
      </c>
      <c r="BN723" t="s">
        <v>74</v>
      </c>
      <c r="BO723" t="s">
        <v>74</v>
      </c>
      <c r="BP723" t="s">
        <v>74</v>
      </c>
      <c r="BQ723" t="s">
        <v>74</v>
      </c>
      <c r="BR723" t="s">
        <v>98</v>
      </c>
      <c r="BS723" t="s">
        <v>10421</v>
      </c>
      <c r="BT723" t="str">
        <f>HYPERLINK("https%3A%2F%2Fwww.webofscience.com%2Fwos%2Fwoscc%2Ffull-record%2FWOS:000221954600002","View Full Record in Web of Science")</f>
        <v>View Full Record in Web of Science</v>
      </c>
    </row>
    <row r="724" spans="1:72" x14ac:dyDescent="0.15">
      <c r="A724" t="s">
        <v>122</v>
      </c>
      <c r="B724" t="s">
        <v>10422</v>
      </c>
      <c r="C724" t="s">
        <v>74</v>
      </c>
      <c r="D724" t="s">
        <v>74</v>
      </c>
      <c r="E724" t="s">
        <v>74</v>
      </c>
      <c r="F724" t="s">
        <v>10422</v>
      </c>
      <c r="G724" t="s">
        <v>74</v>
      </c>
      <c r="H724" t="s">
        <v>74</v>
      </c>
      <c r="I724" t="s">
        <v>10423</v>
      </c>
      <c r="J724" t="s">
        <v>643</v>
      </c>
      <c r="K724" t="s">
        <v>74</v>
      </c>
      <c r="L724" t="s">
        <v>74</v>
      </c>
      <c r="M724" t="s">
        <v>79</v>
      </c>
      <c r="N724" t="s">
        <v>126</v>
      </c>
      <c r="O724" t="s">
        <v>74</v>
      </c>
      <c r="P724" t="s">
        <v>74</v>
      </c>
      <c r="Q724" t="s">
        <v>74</v>
      </c>
      <c r="R724" t="s">
        <v>74</v>
      </c>
      <c r="S724" t="s">
        <v>74</v>
      </c>
      <c r="T724" t="s">
        <v>10424</v>
      </c>
      <c r="U724" t="s">
        <v>10425</v>
      </c>
      <c r="V724" t="s">
        <v>10426</v>
      </c>
      <c r="W724" t="s">
        <v>10427</v>
      </c>
      <c r="X724" t="s">
        <v>10428</v>
      </c>
      <c r="Y724" t="s">
        <v>10429</v>
      </c>
      <c r="Z724" t="s">
        <v>10430</v>
      </c>
      <c r="AA724" t="s">
        <v>10431</v>
      </c>
      <c r="AB724" t="s">
        <v>74</v>
      </c>
      <c r="AC724" t="s">
        <v>74</v>
      </c>
      <c r="AD724" t="s">
        <v>74</v>
      </c>
      <c r="AE724" t="s">
        <v>74</v>
      </c>
      <c r="AF724" t="s">
        <v>74</v>
      </c>
      <c r="AG724">
        <v>35</v>
      </c>
      <c r="AH724">
        <v>51</v>
      </c>
      <c r="AI724">
        <v>54</v>
      </c>
      <c r="AJ724">
        <v>1</v>
      </c>
      <c r="AK724">
        <v>8</v>
      </c>
      <c r="AL724" t="s">
        <v>239</v>
      </c>
      <c r="AM724" t="s">
        <v>240</v>
      </c>
      <c r="AN724" t="s">
        <v>241</v>
      </c>
      <c r="AO724" t="s">
        <v>653</v>
      </c>
      <c r="AP724" t="s">
        <v>654</v>
      </c>
      <c r="AQ724" t="s">
        <v>74</v>
      </c>
      <c r="AR724" t="s">
        <v>655</v>
      </c>
      <c r="AS724" t="s">
        <v>656</v>
      </c>
      <c r="AT724" t="s">
        <v>10417</v>
      </c>
      <c r="AU724">
        <v>2004</v>
      </c>
      <c r="AV724">
        <v>109</v>
      </c>
      <c r="AW724" t="s">
        <v>10091</v>
      </c>
      <c r="AX724" t="s">
        <v>74</v>
      </c>
      <c r="AY724" t="s">
        <v>74</v>
      </c>
      <c r="AZ724" t="s">
        <v>74</v>
      </c>
      <c r="BA724" t="s">
        <v>74</v>
      </c>
      <c r="BB724" t="s">
        <v>74</v>
      </c>
      <c r="BC724" t="s">
        <v>74</v>
      </c>
      <c r="BD724" t="s">
        <v>10432</v>
      </c>
      <c r="BE724" t="s">
        <v>10433</v>
      </c>
      <c r="BF724" t="str">
        <f>HYPERLINK("http://dx.doi.org/10.1029/2003JC002090","http://dx.doi.org/10.1029/2003JC002090")</f>
        <v>http://dx.doi.org/10.1029/2003JC002090</v>
      </c>
      <c r="BG724" t="s">
        <v>74</v>
      </c>
      <c r="BH724" t="s">
        <v>74</v>
      </c>
      <c r="BI724">
        <v>18</v>
      </c>
      <c r="BJ724" t="s">
        <v>660</v>
      </c>
      <c r="BK724" t="s">
        <v>139</v>
      </c>
      <c r="BL724" t="s">
        <v>660</v>
      </c>
      <c r="BM724" t="s">
        <v>10420</v>
      </c>
      <c r="BN724" t="s">
        <v>74</v>
      </c>
      <c r="BO724" t="s">
        <v>329</v>
      </c>
      <c r="BP724" t="s">
        <v>74</v>
      </c>
      <c r="BQ724" t="s">
        <v>74</v>
      </c>
      <c r="BR724" t="s">
        <v>98</v>
      </c>
      <c r="BS724" t="s">
        <v>10434</v>
      </c>
      <c r="BT724" t="str">
        <f>HYPERLINK("https%3A%2F%2Fwww.webofscience.com%2Fwos%2Fwoscc%2Ffull-record%2FWOS:000221954600001","View Full Record in Web of Science")</f>
        <v>View Full Record in Web of Science</v>
      </c>
    </row>
    <row r="725" spans="1:72" x14ac:dyDescent="0.15">
      <c r="A725" t="s">
        <v>122</v>
      </c>
      <c r="B725" t="s">
        <v>10435</v>
      </c>
      <c r="C725" t="s">
        <v>74</v>
      </c>
      <c r="D725" t="s">
        <v>74</v>
      </c>
      <c r="E725" t="s">
        <v>74</v>
      </c>
      <c r="F725" t="s">
        <v>10435</v>
      </c>
      <c r="G725" t="s">
        <v>74</v>
      </c>
      <c r="H725" t="s">
        <v>74</v>
      </c>
      <c r="I725" t="s">
        <v>10436</v>
      </c>
      <c r="J725" t="s">
        <v>5080</v>
      </c>
      <c r="K725" t="s">
        <v>74</v>
      </c>
      <c r="L725" t="s">
        <v>74</v>
      </c>
      <c r="M725" t="s">
        <v>79</v>
      </c>
      <c r="N725" t="s">
        <v>126</v>
      </c>
      <c r="O725" t="s">
        <v>74</v>
      </c>
      <c r="P725" t="s">
        <v>74</v>
      </c>
      <c r="Q725" t="s">
        <v>74</v>
      </c>
      <c r="R725" t="s">
        <v>74</v>
      </c>
      <c r="S725" t="s">
        <v>74</v>
      </c>
      <c r="T725" t="s">
        <v>10437</v>
      </c>
      <c r="U725" t="s">
        <v>10438</v>
      </c>
      <c r="V725" t="s">
        <v>10439</v>
      </c>
      <c r="W725" t="s">
        <v>10440</v>
      </c>
      <c r="X725" t="s">
        <v>1641</v>
      </c>
      <c r="Y725" t="s">
        <v>2548</v>
      </c>
      <c r="Z725" t="s">
        <v>10441</v>
      </c>
      <c r="AA725" t="s">
        <v>74</v>
      </c>
      <c r="AB725" t="s">
        <v>74</v>
      </c>
      <c r="AC725" t="s">
        <v>74</v>
      </c>
      <c r="AD725" t="s">
        <v>74</v>
      </c>
      <c r="AE725" t="s">
        <v>74</v>
      </c>
      <c r="AF725" t="s">
        <v>74</v>
      </c>
      <c r="AG725">
        <v>26</v>
      </c>
      <c r="AH725">
        <v>7</v>
      </c>
      <c r="AI725">
        <v>7</v>
      </c>
      <c r="AJ725">
        <v>0</v>
      </c>
      <c r="AK725">
        <v>3</v>
      </c>
      <c r="AL725" t="s">
        <v>5089</v>
      </c>
      <c r="AM725" t="s">
        <v>5090</v>
      </c>
      <c r="AN725" t="s">
        <v>5091</v>
      </c>
      <c r="AO725" t="s">
        <v>5092</v>
      </c>
      <c r="AP725" t="s">
        <v>74</v>
      </c>
      <c r="AQ725" t="s">
        <v>74</v>
      </c>
      <c r="AR725" t="s">
        <v>5080</v>
      </c>
      <c r="AS725" t="s">
        <v>5093</v>
      </c>
      <c r="AT725" t="s">
        <v>10417</v>
      </c>
      <c r="AU725">
        <v>2004</v>
      </c>
      <c r="AV725">
        <v>89</v>
      </c>
      <c r="AW725">
        <v>3</v>
      </c>
      <c r="AX725" t="s">
        <v>74</v>
      </c>
      <c r="AY725" t="s">
        <v>74</v>
      </c>
      <c r="AZ725" t="s">
        <v>74</v>
      </c>
      <c r="BA725" t="s">
        <v>74</v>
      </c>
      <c r="BB725">
        <v>190</v>
      </c>
      <c r="BC725">
        <v>195</v>
      </c>
      <c r="BD725" t="s">
        <v>74</v>
      </c>
      <c r="BE725" t="s">
        <v>10442</v>
      </c>
      <c r="BF725" t="str">
        <f>HYPERLINK("http://dx.doi.org/10.1080/00364820410006367","http://dx.doi.org/10.1080/00364820410006367")</f>
        <v>http://dx.doi.org/10.1080/00364820410006367</v>
      </c>
      <c r="BG725" t="s">
        <v>74</v>
      </c>
      <c r="BH725" t="s">
        <v>74</v>
      </c>
      <c r="BI725">
        <v>6</v>
      </c>
      <c r="BJ725" t="s">
        <v>3942</v>
      </c>
      <c r="BK725" t="s">
        <v>139</v>
      </c>
      <c r="BL725" t="s">
        <v>1797</v>
      </c>
      <c r="BM725" t="s">
        <v>10443</v>
      </c>
      <c r="BN725" t="s">
        <v>74</v>
      </c>
      <c r="BO725" t="s">
        <v>74</v>
      </c>
      <c r="BP725" t="s">
        <v>74</v>
      </c>
      <c r="BQ725" t="s">
        <v>74</v>
      </c>
      <c r="BR725" t="s">
        <v>98</v>
      </c>
      <c r="BS725" t="s">
        <v>10444</v>
      </c>
      <c r="BT725" t="str">
        <f>HYPERLINK("https%3A%2F%2Fwww.webofscience.com%2Fwos%2Fwoscc%2Ffull-record%2FWOS:000222107500005","View Full Record in Web of Science")</f>
        <v>View Full Record in Web of Science</v>
      </c>
    </row>
    <row r="726" spans="1:72" x14ac:dyDescent="0.15">
      <c r="A726" t="s">
        <v>122</v>
      </c>
      <c r="B726" t="s">
        <v>10445</v>
      </c>
      <c r="C726" t="s">
        <v>74</v>
      </c>
      <c r="D726" t="s">
        <v>74</v>
      </c>
      <c r="E726" t="s">
        <v>74</v>
      </c>
      <c r="F726" t="s">
        <v>10445</v>
      </c>
      <c r="G726" t="s">
        <v>74</v>
      </c>
      <c r="H726" t="s">
        <v>74</v>
      </c>
      <c r="I726" t="s">
        <v>10446</v>
      </c>
      <c r="J726" t="s">
        <v>10447</v>
      </c>
      <c r="K726" t="s">
        <v>74</v>
      </c>
      <c r="L726" t="s">
        <v>74</v>
      </c>
      <c r="M726" t="s">
        <v>79</v>
      </c>
      <c r="N726" t="s">
        <v>1129</v>
      </c>
      <c r="O726" t="s">
        <v>10448</v>
      </c>
      <c r="P726" t="s">
        <v>10449</v>
      </c>
      <c r="Q726" t="s">
        <v>10450</v>
      </c>
      <c r="R726" t="s">
        <v>74</v>
      </c>
      <c r="S726" t="s">
        <v>10451</v>
      </c>
      <c r="T726" t="s">
        <v>74</v>
      </c>
      <c r="U726" t="s">
        <v>10452</v>
      </c>
      <c r="V726" t="s">
        <v>10453</v>
      </c>
      <c r="W726" t="s">
        <v>10454</v>
      </c>
      <c r="X726" t="s">
        <v>10455</v>
      </c>
      <c r="Y726" t="s">
        <v>10456</v>
      </c>
      <c r="Z726" t="s">
        <v>74</v>
      </c>
      <c r="AA726" t="s">
        <v>10457</v>
      </c>
      <c r="AB726" t="s">
        <v>10458</v>
      </c>
      <c r="AC726" t="s">
        <v>74</v>
      </c>
      <c r="AD726" t="s">
        <v>74</v>
      </c>
      <c r="AE726" t="s">
        <v>74</v>
      </c>
      <c r="AF726" t="s">
        <v>74</v>
      </c>
      <c r="AG726">
        <v>25</v>
      </c>
      <c r="AH726">
        <v>0</v>
      </c>
      <c r="AI726">
        <v>0</v>
      </c>
      <c r="AJ726">
        <v>0</v>
      </c>
      <c r="AK726">
        <v>0</v>
      </c>
      <c r="AL726" t="s">
        <v>10459</v>
      </c>
      <c r="AM726" t="s">
        <v>10460</v>
      </c>
      <c r="AN726" t="s">
        <v>10461</v>
      </c>
      <c r="AO726" t="s">
        <v>10462</v>
      </c>
      <c r="AP726" t="s">
        <v>74</v>
      </c>
      <c r="AQ726" t="s">
        <v>74</v>
      </c>
      <c r="AR726" t="s">
        <v>10463</v>
      </c>
      <c r="AS726" t="s">
        <v>10464</v>
      </c>
      <c r="AT726" t="s">
        <v>10465</v>
      </c>
      <c r="AU726">
        <v>2004</v>
      </c>
      <c r="AV726">
        <v>35</v>
      </c>
      <c r="AW726" t="s">
        <v>10466</v>
      </c>
      <c r="AX726" t="s">
        <v>74</v>
      </c>
      <c r="AY726" t="s">
        <v>74</v>
      </c>
      <c r="AZ726" t="s">
        <v>74</v>
      </c>
      <c r="BA726" t="s">
        <v>74</v>
      </c>
      <c r="BB726">
        <v>1919</v>
      </c>
      <c r="BC726">
        <v>1931</v>
      </c>
      <c r="BD726" t="s">
        <v>74</v>
      </c>
      <c r="BE726" t="s">
        <v>74</v>
      </c>
      <c r="BF726" t="s">
        <v>74</v>
      </c>
      <c r="BG726" t="s">
        <v>74</v>
      </c>
      <c r="BH726" t="s">
        <v>74</v>
      </c>
      <c r="BI726">
        <v>13</v>
      </c>
      <c r="BJ726" t="s">
        <v>1470</v>
      </c>
      <c r="BK726" t="s">
        <v>1150</v>
      </c>
      <c r="BL726" t="s">
        <v>1471</v>
      </c>
      <c r="BM726" t="s">
        <v>10467</v>
      </c>
      <c r="BN726" t="s">
        <v>74</v>
      </c>
      <c r="BO726" t="s">
        <v>74</v>
      </c>
      <c r="BP726" t="s">
        <v>74</v>
      </c>
      <c r="BQ726" t="s">
        <v>74</v>
      </c>
      <c r="BR726" t="s">
        <v>98</v>
      </c>
      <c r="BS726" t="s">
        <v>10468</v>
      </c>
      <c r="BT726" t="str">
        <f>HYPERLINK("https%3A%2F%2Fwww.webofscience.com%2Fwos%2Fwoscc%2Ffull-record%2FWOS:000222501700013","View Full Record in Web of Science")</f>
        <v>View Full Record in Web of Science</v>
      </c>
    </row>
    <row r="727" spans="1:72" x14ac:dyDescent="0.15">
      <c r="A727" t="s">
        <v>122</v>
      </c>
      <c r="B727" t="s">
        <v>10469</v>
      </c>
      <c r="C727" t="s">
        <v>74</v>
      </c>
      <c r="D727" t="s">
        <v>74</v>
      </c>
      <c r="E727" t="s">
        <v>74</v>
      </c>
      <c r="F727" t="s">
        <v>10469</v>
      </c>
      <c r="G727" t="s">
        <v>74</v>
      </c>
      <c r="H727" t="s">
        <v>74</v>
      </c>
      <c r="I727" t="s">
        <v>10470</v>
      </c>
      <c r="J727" t="s">
        <v>917</v>
      </c>
      <c r="K727" t="s">
        <v>74</v>
      </c>
      <c r="L727" t="s">
        <v>74</v>
      </c>
      <c r="M727" t="s">
        <v>79</v>
      </c>
      <c r="N727" t="s">
        <v>918</v>
      </c>
      <c r="O727" t="s">
        <v>74</v>
      </c>
      <c r="P727" t="s">
        <v>74</v>
      </c>
      <c r="Q727" t="s">
        <v>74</v>
      </c>
      <c r="R727" t="s">
        <v>74</v>
      </c>
      <c r="S727" t="s">
        <v>74</v>
      </c>
      <c r="T727" t="s">
        <v>74</v>
      </c>
      <c r="U727" t="s">
        <v>74</v>
      </c>
      <c r="V727" t="s">
        <v>74</v>
      </c>
      <c r="W727" t="s">
        <v>10471</v>
      </c>
      <c r="X727" t="s">
        <v>1956</v>
      </c>
      <c r="Y727" t="s">
        <v>10472</v>
      </c>
      <c r="Z727" t="s">
        <v>74</v>
      </c>
      <c r="AA727" t="s">
        <v>1959</v>
      </c>
      <c r="AB727" t="s">
        <v>74</v>
      </c>
      <c r="AC727" t="s">
        <v>74</v>
      </c>
      <c r="AD727" t="s">
        <v>74</v>
      </c>
      <c r="AE727" t="s">
        <v>74</v>
      </c>
      <c r="AF727" t="s">
        <v>74</v>
      </c>
      <c r="AG727">
        <v>0</v>
      </c>
      <c r="AH727">
        <v>0</v>
      </c>
      <c r="AI727">
        <v>0</v>
      </c>
      <c r="AJ727">
        <v>0</v>
      </c>
      <c r="AK727">
        <v>4</v>
      </c>
      <c r="AL727" t="s">
        <v>919</v>
      </c>
      <c r="AM727" t="s">
        <v>613</v>
      </c>
      <c r="AN727" t="s">
        <v>920</v>
      </c>
      <c r="AO727" t="s">
        <v>921</v>
      </c>
      <c r="AP727" t="s">
        <v>74</v>
      </c>
      <c r="AQ727" t="s">
        <v>74</v>
      </c>
      <c r="AR727" t="s">
        <v>922</v>
      </c>
      <c r="AS727" t="s">
        <v>923</v>
      </c>
      <c r="AT727" t="s">
        <v>10473</v>
      </c>
      <c r="AU727">
        <v>2004</v>
      </c>
      <c r="AV727">
        <v>16</v>
      </c>
      <c r="AW727">
        <v>2</v>
      </c>
      <c r="AX727" t="s">
        <v>74</v>
      </c>
      <c r="AY727" t="s">
        <v>74</v>
      </c>
      <c r="AZ727" t="s">
        <v>74</v>
      </c>
      <c r="BA727" t="s">
        <v>74</v>
      </c>
      <c r="BB727">
        <v>97</v>
      </c>
      <c r="BC727">
        <v>97</v>
      </c>
      <c r="BD727" t="s">
        <v>74</v>
      </c>
      <c r="BE727" t="s">
        <v>10474</v>
      </c>
      <c r="BF727" t="str">
        <f>HYPERLINK("http://dx.doi.org/10.1017/S0954102004001853","http://dx.doi.org/10.1017/S0954102004001853")</f>
        <v>http://dx.doi.org/10.1017/S0954102004001853</v>
      </c>
      <c r="BG727" t="s">
        <v>74</v>
      </c>
      <c r="BH727" t="s">
        <v>74</v>
      </c>
      <c r="BI727">
        <v>1</v>
      </c>
      <c r="BJ727" t="s">
        <v>925</v>
      </c>
      <c r="BK727" t="s">
        <v>139</v>
      </c>
      <c r="BL727" t="s">
        <v>926</v>
      </c>
      <c r="BM727" t="s">
        <v>10475</v>
      </c>
      <c r="BN727" t="s">
        <v>74</v>
      </c>
      <c r="BO727" t="s">
        <v>273</v>
      </c>
      <c r="BP727" t="s">
        <v>74</v>
      </c>
      <c r="BQ727" t="s">
        <v>74</v>
      </c>
      <c r="BR727" t="s">
        <v>98</v>
      </c>
      <c r="BS727" t="s">
        <v>10476</v>
      </c>
      <c r="BT727" t="str">
        <f>HYPERLINK("https%3A%2F%2Fwww.webofscience.com%2Fwos%2Fwoscc%2Ffull-record%2FWOS:000222280700001","View Full Record in Web of Science")</f>
        <v>View Full Record in Web of Science</v>
      </c>
    </row>
    <row r="728" spans="1:72" x14ac:dyDescent="0.15">
      <c r="A728" t="s">
        <v>122</v>
      </c>
      <c r="B728" t="s">
        <v>10477</v>
      </c>
      <c r="C728" t="s">
        <v>74</v>
      </c>
      <c r="D728" t="s">
        <v>74</v>
      </c>
      <c r="E728" t="s">
        <v>74</v>
      </c>
      <c r="F728" t="s">
        <v>10477</v>
      </c>
      <c r="G728" t="s">
        <v>74</v>
      </c>
      <c r="H728" t="s">
        <v>74</v>
      </c>
      <c r="I728" t="s">
        <v>10478</v>
      </c>
      <c r="J728" t="s">
        <v>917</v>
      </c>
      <c r="K728" t="s">
        <v>74</v>
      </c>
      <c r="L728" t="s">
        <v>74</v>
      </c>
      <c r="M728" t="s">
        <v>79</v>
      </c>
      <c r="N728" t="s">
        <v>126</v>
      </c>
      <c r="O728" t="s">
        <v>74</v>
      </c>
      <c r="P728" t="s">
        <v>74</v>
      </c>
      <c r="Q728" t="s">
        <v>74</v>
      </c>
      <c r="R728" t="s">
        <v>74</v>
      </c>
      <c r="S728" t="s">
        <v>74</v>
      </c>
      <c r="T728" t="s">
        <v>10479</v>
      </c>
      <c r="U728" t="s">
        <v>10480</v>
      </c>
      <c r="V728" t="s">
        <v>10481</v>
      </c>
      <c r="W728" t="s">
        <v>10482</v>
      </c>
      <c r="X728" t="s">
        <v>10483</v>
      </c>
      <c r="Y728" t="s">
        <v>10484</v>
      </c>
      <c r="Z728" t="s">
        <v>10485</v>
      </c>
      <c r="AA728" t="s">
        <v>74</v>
      </c>
      <c r="AB728" t="s">
        <v>74</v>
      </c>
      <c r="AC728" t="s">
        <v>74</v>
      </c>
      <c r="AD728" t="s">
        <v>74</v>
      </c>
      <c r="AE728" t="s">
        <v>74</v>
      </c>
      <c r="AF728" t="s">
        <v>74</v>
      </c>
      <c r="AG728">
        <v>31</v>
      </c>
      <c r="AH728">
        <v>11</v>
      </c>
      <c r="AI728">
        <v>11</v>
      </c>
      <c r="AJ728">
        <v>0</v>
      </c>
      <c r="AK728">
        <v>5</v>
      </c>
      <c r="AL728" t="s">
        <v>919</v>
      </c>
      <c r="AM728" t="s">
        <v>613</v>
      </c>
      <c r="AN728" t="s">
        <v>920</v>
      </c>
      <c r="AO728" t="s">
        <v>921</v>
      </c>
      <c r="AP728" t="s">
        <v>74</v>
      </c>
      <c r="AQ728" t="s">
        <v>74</v>
      </c>
      <c r="AR728" t="s">
        <v>922</v>
      </c>
      <c r="AS728" t="s">
        <v>923</v>
      </c>
      <c r="AT728" t="s">
        <v>10473</v>
      </c>
      <c r="AU728">
        <v>2004</v>
      </c>
      <c r="AV728">
        <v>16</v>
      </c>
      <c r="AW728">
        <v>2</v>
      </c>
      <c r="AX728" t="s">
        <v>74</v>
      </c>
      <c r="AY728" t="s">
        <v>74</v>
      </c>
      <c r="AZ728" t="s">
        <v>74</v>
      </c>
      <c r="BA728" t="s">
        <v>74</v>
      </c>
      <c r="BB728">
        <v>99</v>
      </c>
      <c r="BC728">
        <v>105</v>
      </c>
      <c r="BD728" t="s">
        <v>74</v>
      </c>
      <c r="BE728" t="s">
        <v>10486</v>
      </c>
      <c r="BF728" t="str">
        <f>HYPERLINK("http://dx.doi.org/10.1017/S0954102004001865","http://dx.doi.org/10.1017/S0954102004001865")</f>
        <v>http://dx.doi.org/10.1017/S0954102004001865</v>
      </c>
      <c r="BG728" t="s">
        <v>74</v>
      </c>
      <c r="BH728" t="s">
        <v>74</v>
      </c>
      <c r="BI728">
        <v>7</v>
      </c>
      <c r="BJ728" t="s">
        <v>925</v>
      </c>
      <c r="BK728" t="s">
        <v>139</v>
      </c>
      <c r="BL728" t="s">
        <v>926</v>
      </c>
      <c r="BM728" t="s">
        <v>10475</v>
      </c>
      <c r="BN728" t="s">
        <v>74</v>
      </c>
      <c r="BO728" t="s">
        <v>329</v>
      </c>
      <c r="BP728" t="s">
        <v>74</v>
      </c>
      <c r="BQ728" t="s">
        <v>74</v>
      </c>
      <c r="BR728" t="s">
        <v>98</v>
      </c>
      <c r="BS728" t="s">
        <v>10487</v>
      </c>
      <c r="BT728" t="str">
        <f>HYPERLINK("https%3A%2F%2Fwww.webofscience.com%2Fwos%2Fwoscc%2Ffull-record%2FWOS:000222280700002","View Full Record in Web of Science")</f>
        <v>View Full Record in Web of Science</v>
      </c>
    </row>
    <row r="729" spans="1:72" x14ac:dyDescent="0.15">
      <c r="A729" t="s">
        <v>122</v>
      </c>
      <c r="B729" t="s">
        <v>10488</v>
      </c>
      <c r="C729" t="s">
        <v>74</v>
      </c>
      <c r="D729" t="s">
        <v>74</v>
      </c>
      <c r="E729" t="s">
        <v>74</v>
      </c>
      <c r="F729" t="s">
        <v>10488</v>
      </c>
      <c r="G729" t="s">
        <v>74</v>
      </c>
      <c r="H729" t="s">
        <v>74</v>
      </c>
      <c r="I729" t="s">
        <v>10489</v>
      </c>
      <c r="J729" t="s">
        <v>917</v>
      </c>
      <c r="K729" t="s">
        <v>74</v>
      </c>
      <c r="L729" t="s">
        <v>74</v>
      </c>
      <c r="M729" t="s">
        <v>79</v>
      </c>
      <c r="N729" t="s">
        <v>126</v>
      </c>
      <c r="O729" t="s">
        <v>74</v>
      </c>
      <c r="P729" t="s">
        <v>74</v>
      </c>
      <c r="Q729" t="s">
        <v>74</v>
      </c>
      <c r="R729" t="s">
        <v>74</v>
      </c>
      <c r="S729" t="s">
        <v>74</v>
      </c>
      <c r="T729" t="s">
        <v>10490</v>
      </c>
      <c r="U729" t="s">
        <v>10491</v>
      </c>
      <c r="V729" t="s">
        <v>10492</v>
      </c>
      <c r="W729" t="s">
        <v>10493</v>
      </c>
      <c r="X729" t="s">
        <v>10494</v>
      </c>
      <c r="Y729" t="s">
        <v>10495</v>
      </c>
      <c r="Z729" t="s">
        <v>10496</v>
      </c>
      <c r="AA729" t="s">
        <v>74</v>
      </c>
      <c r="AB729" t="s">
        <v>74</v>
      </c>
      <c r="AC729" t="s">
        <v>74</v>
      </c>
      <c r="AD729" t="s">
        <v>74</v>
      </c>
      <c r="AE729" t="s">
        <v>74</v>
      </c>
      <c r="AF729" t="s">
        <v>74</v>
      </c>
      <c r="AG729">
        <v>50</v>
      </c>
      <c r="AH729">
        <v>34</v>
      </c>
      <c r="AI729">
        <v>38</v>
      </c>
      <c r="AJ729">
        <v>0</v>
      </c>
      <c r="AK729">
        <v>13</v>
      </c>
      <c r="AL729" t="s">
        <v>919</v>
      </c>
      <c r="AM729" t="s">
        <v>613</v>
      </c>
      <c r="AN729" t="s">
        <v>937</v>
      </c>
      <c r="AO729" t="s">
        <v>921</v>
      </c>
      <c r="AP729" t="s">
        <v>938</v>
      </c>
      <c r="AQ729" t="s">
        <v>74</v>
      </c>
      <c r="AR729" t="s">
        <v>922</v>
      </c>
      <c r="AS729" t="s">
        <v>923</v>
      </c>
      <c r="AT729" t="s">
        <v>10473</v>
      </c>
      <c r="AU729">
        <v>2004</v>
      </c>
      <c r="AV729">
        <v>16</v>
      </c>
      <c r="AW729">
        <v>2</v>
      </c>
      <c r="AX729" t="s">
        <v>74</v>
      </c>
      <c r="AY729" t="s">
        <v>74</v>
      </c>
      <c r="AZ729" t="s">
        <v>74</v>
      </c>
      <c r="BA729" t="s">
        <v>74</v>
      </c>
      <c r="BB729">
        <v>107</v>
      </c>
      <c r="BC729">
        <v>115</v>
      </c>
      <c r="BD729" t="s">
        <v>74</v>
      </c>
      <c r="BE729" t="s">
        <v>10497</v>
      </c>
      <c r="BF729" t="str">
        <f>HYPERLINK("http://dx.doi.org/10.1017/S095410200400197X","http://dx.doi.org/10.1017/S095410200400197X")</f>
        <v>http://dx.doi.org/10.1017/S095410200400197X</v>
      </c>
      <c r="BG729" t="s">
        <v>74</v>
      </c>
      <c r="BH729" t="s">
        <v>74</v>
      </c>
      <c r="BI729">
        <v>9</v>
      </c>
      <c r="BJ729" t="s">
        <v>925</v>
      </c>
      <c r="BK729" t="s">
        <v>139</v>
      </c>
      <c r="BL729" t="s">
        <v>926</v>
      </c>
      <c r="BM729" t="s">
        <v>10475</v>
      </c>
      <c r="BN729" t="s">
        <v>74</v>
      </c>
      <c r="BO729" t="s">
        <v>74</v>
      </c>
      <c r="BP729" t="s">
        <v>74</v>
      </c>
      <c r="BQ729" t="s">
        <v>74</v>
      </c>
      <c r="BR729" t="s">
        <v>98</v>
      </c>
      <c r="BS729" t="s">
        <v>10498</v>
      </c>
      <c r="BT729" t="str">
        <f>HYPERLINK("https%3A%2F%2Fwww.webofscience.com%2Fwos%2Fwoscc%2Ffull-record%2FWOS:000222280700003","View Full Record in Web of Science")</f>
        <v>View Full Record in Web of Science</v>
      </c>
    </row>
    <row r="730" spans="1:72" x14ac:dyDescent="0.15">
      <c r="A730" t="s">
        <v>122</v>
      </c>
      <c r="B730" t="s">
        <v>10499</v>
      </c>
      <c r="C730" t="s">
        <v>74</v>
      </c>
      <c r="D730" t="s">
        <v>74</v>
      </c>
      <c r="E730" t="s">
        <v>74</v>
      </c>
      <c r="F730" t="s">
        <v>10499</v>
      </c>
      <c r="G730" t="s">
        <v>74</v>
      </c>
      <c r="H730" t="s">
        <v>74</v>
      </c>
      <c r="I730" t="s">
        <v>10500</v>
      </c>
      <c r="J730" t="s">
        <v>917</v>
      </c>
      <c r="K730" t="s">
        <v>74</v>
      </c>
      <c r="L730" t="s">
        <v>74</v>
      </c>
      <c r="M730" t="s">
        <v>79</v>
      </c>
      <c r="N730" t="s">
        <v>126</v>
      </c>
      <c r="O730" t="s">
        <v>74</v>
      </c>
      <c r="P730" t="s">
        <v>74</v>
      </c>
      <c r="Q730" t="s">
        <v>74</v>
      </c>
      <c r="R730" t="s">
        <v>74</v>
      </c>
      <c r="S730" t="s">
        <v>74</v>
      </c>
      <c r="T730" t="s">
        <v>10501</v>
      </c>
      <c r="U730" t="s">
        <v>10502</v>
      </c>
      <c r="V730" t="s">
        <v>10503</v>
      </c>
      <c r="W730" t="s">
        <v>10504</v>
      </c>
      <c r="X730" t="s">
        <v>10505</v>
      </c>
      <c r="Y730" t="s">
        <v>10506</v>
      </c>
      <c r="Z730" t="s">
        <v>10507</v>
      </c>
      <c r="AA730" t="s">
        <v>10508</v>
      </c>
      <c r="AB730" t="s">
        <v>10509</v>
      </c>
      <c r="AC730" t="s">
        <v>74</v>
      </c>
      <c r="AD730" t="s">
        <v>74</v>
      </c>
      <c r="AE730" t="s">
        <v>74</v>
      </c>
      <c r="AF730" t="s">
        <v>74</v>
      </c>
      <c r="AG730">
        <v>27</v>
      </c>
      <c r="AH730">
        <v>87</v>
      </c>
      <c r="AI730">
        <v>92</v>
      </c>
      <c r="AJ730">
        <v>2</v>
      </c>
      <c r="AK730">
        <v>29</v>
      </c>
      <c r="AL730" t="s">
        <v>919</v>
      </c>
      <c r="AM730" t="s">
        <v>613</v>
      </c>
      <c r="AN730" t="s">
        <v>937</v>
      </c>
      <c r="AO730" t="s">
        <v>921</v>
      </c>
      <c r="AP730" t="s">
        <v>938</v>
      </c>
      <c r="AQ730" t="s">
        <v>74</v>
      </c>
      <c r="AR730" t="s">
        <v>922</v>
      </c>
      <c r="AS730" t="s">
        <v>923</v>
      </c>
      <c r="AT730" t="s">
        <v>10473</v>
      </c>
      <c r="AU730">
        <v>2004</v>
      </c>
      <c r="AV730">
        <v>16</v>
      </c>
      <c r="AW730">
        <v>2</v>
      </c>
      <c r="AX730" t="s">
        <v>74</v>
      </c>
      <c r="AY730" t="s">
        <v>74</v>
      </c>
      <c r="AZ730" t="s">
        <v>74</v>
      </c>
      <c r="BA730" t="s">
        <v>74</v>
      </c>
      <c r="BB730">
        <v>117</v>
      </c>
      <c r="BC730">
        <v>122</v>
      </c>
      <c r="BD730" t="s">
        <v>74</v>
      </c>
      <c r="BE730" t="s">
        <v>10510</v>
      </c>
      <c r="BF730" t="str">
        <f>HYPERLINK("http://dx.doi.org/10.1017/S0954102004001932","http://dx.doi.org/10.1017/S0954102004001932")</f>
        <v>http://dx.doi.org/10.1017/S0954102004001932</v>
      </c>
      <c r="BG730" t="s">
        <v>74</v>
      </c>
      <c r="BH730" t="s">
        <v>74</v>
      </c>
      <c r="BI730">
        <v>6</v>
      </c>
      <c r="BJ730" t="s">
        <v>925</v>
      </c>
      <c r="BK730" t="s">
        <v>139</v>
      </c>
      <c r="BL730" t="s">
        <v>926</v>
      </c>
      <c r="BM730" t="s">
        <v>10475</v>
      </c>
      <c r="BN730" t="s">
        <v>74</v>
      </c>
      <c r="BO730" t="s">
        <v>74</v>
      </c>
      <c r="BP730" t="s">
        <v>74</v>
      </c>
      <c r="BQ730" t="s">
        <v>74</v>
      </c>
      <c r="BR730" t="s">
        <v>98</v>
      </c>
      <c r="BS730" t="s">
        <v>10511</v>
      </c>
      <c r="BT730" t="str">
        <f>HYPERLINK("https%3A%2F%2Fwww.webofscience.com%2Fwos%2Fwoscc%2Ffull-record%2FWOS:000222280700004","View Full Record in Web of Science")</f>
        <v>View Full Record in Web of Science</v>
      </c>
    </row>
    <row r="731" spans="1:72" x14ac:dyDescent="0.15">
      <c r="A731" t="s">
        <v>122</v>
      </c>
      <c r="B731" t="s">
        <v>10512</v>
      </c>
      <c r="C731" t="s">
        <v>74</v>
      </c>
      <c r="D731" t="s">
        <v>74</v>
      </c>
      <c r="E731" t="s">
        <v>74</v>
      </c>
      <c r="F731" t="s">
        <v>10512</v>
      </c>
      <c r="G731" t="s">
        <v>74</v>
      </c>
      <c r="H731" t="s">
        <v>74</v>
      </c>
      <c r="I731" t="s">
        <v>10513</v>
      </c>
      <c r="J731" t="s">
        <v>917</v>
      </c>
      <c r="K731" t="s">
        <v>74</v>
      </c>
      <c r="L731" t="s">
        <v>74</v>
      </c>
      <c r="M731" t="s">
        <v>79</v>
      </c>
      <c r="N731" t="s">
        <v>126</v>
      </c>
      <c r="O731" t="s">
        <v>74</v>
      </c>
      <c r="P731" t="s">
        <v>74</v>
      </c>
      <c r="Q731" t="s">
        <v>74</v>
      </c>
      <c r="R731" t="s">
        <v>74</v>
      </c>
      <c r="S731" t="s">
        <v>74</v>
      </c>
      <c r="T731" t="s">
        <v>10514</v>
      </c>
      <c r="U731" t="s">
        <v>10515</v>
      </c>
      <c r="V731" t="s">
        <v>10516</v>
      </c>
      <c r="W731" t="s">
        <v>10517</v>
      </c>
      <c r="X731" t="s">
        <v>10518</v>
      </c>
      <c r="Y731" t="s">
        <v>10519</v>
      </c>
      <c r="Z731" t="s">
        <v>10520</v>
      </c>
      <c r="AA731" t="s">
        <v>74</v>
      </c>
      <c r="AB731" t="s">
        <v>10521</v>
      </c>
      <c r="AC731" t="s">
        <v>74</v>
      </c>
      <c r="AD731" t="s">
        <v>74</v>
      </c>
      <c r="AE731" t="s">
        <v>74</v>
      </c>
      <c r="AF731" t="s">
        <v>74</v>
      </c>
      <c r="AG731">
        <v>33</v>
      </c>
      <c r="AH731">
        <v>37</v>
      </c>
      <c r="AI731">
        <v>42</v>
      </c>
      <c r="AJ731">
        <v>0</v>
      </c>
      <c r="AK731">
        <v>4</v>
      </c>
      <c r="AL731" t="s">
        <v>919</v>
      </c>
      <c r="AM731" t="s">
        <v>613</v>
      </c>
      <c r="AN731" t="s">
        <v>937</v>
      </c>
      <c r="AO731" t="s">
        <v>921</v>
      </c>
      <c r="AP731" t="s">
        <v>938</v>
      </c>
      <c r="AQ731" t="s">
        <v>74</v>
      </c>
      <c r="AR731" t="s">
        <v>922</v>
      </c>
      <c r="AS731" t="s">
        <v>923</v>
      </c>
      <c r="AT731" t="s">
        <v>10473</v>
      </c>
      <c r="AU731">
        <v>2004</v>
      </c>
      <c r="AV731">
        <v>16</v>
      </c>
      <c r="AW731">
        <v>2</v>
      </c>
      <c r="AX731" t="s">
        <v>74</v>
      </c>
      <c r="AY731" t="s">
        <v>74</v>
      </c>
      <c r="AZ731" t="s">
        <v>74</v>
      </c>
      <c r="BA731" t="s">
        <v>74</v>
      </c>
      <c r="BB731">
        <v>123</v>
      </c>
      <c r="BC731">
        <v>128</v>
      </c>
      <c r="BD731" t="s">
        <v>74</v>
      </c>
      <c r="BE731" t="s">
        <v>10522</v>
      </c>
      <c r="BF731" t="str">
        <f>HYPERLINK("http://dx.doi.org/10.1017/S0954102004001890","http://dx.doi.org/10.1017/S0954102004001890")</f>
        <v>http://dx.doi.org/10.1017/S0954102004001890</v>
      </c>
      <c r="BG731" t="s">
        <v>74</v>
      </c>
      <c r="BH731" t="s">
        <v>74</v>
      </c>
      <c r="BI731">
        <v>6</v>
      </c>
      <c r="BJ731" t="s">
        <v>925</v>
      </c>
      <c r="BK731" t="s">
        <v>139</v>
      </c>
      <c r="BL731" t="s">
        <v>926</v>
      </c>
      <c r="BM731" t="s">
        <v>10475</v>
      </c>
      <c r="BN731" t="s">
        <v>74</v>
      </c>
      <c r="BO731" t="s">
        <v>329</v>
      </c>
      <c r="BP731" t="s">
        <v>74</v>
      </c>
      <c r="BQ731" t="s">
        <v>74</v>
      </c>
      <c r="BR731" t="s">
        <v>98</v>
      </c>
      <c r="BS731" t="s">
        <v>10523</v>
      </c>
      <c r="BT731" t="str">
        <f>HYPERLINK("https%3A%2F%2Fwww.webofscience.com%2Fwos%2Fwoscc%2Ffull-record%2FWOS:000222280700005","View Full Record in Web of Science")</f>
        <v>View Full Record in Web of Science</v>
      </c>
    </row>
    <row r="732" spans="1:72" x14ac:dyDescent="0.15">
      <c r="A732" t="s">
        <v>122</v>
      </c>
      <c r="B732" t="s">
        <v>10524</v>
      </c>
      <c r="C732" t="s">
        <v>74</v>
      </c>
      <c r="D732" t="s">
        <v>74</v>
      </c>
      <c r="E732" t="s">
        <v>74</v>
      </c>
      <c r="F732" t="s">
        <v>10524</v>
      </c>
      <c r="G732" t="s">
        <v>74</v>
      </c>
      <c r="H732" t="s">
        <v>74</v>
      </c>
      <c r="I732" t="s">
        <v>10525</v>
      </c>
      <c r="J732" t="s">
        <v>917</v>
      </c>
      <c r="K732" t="s">
        <v>74</v>
      </c>
      <c r="L732" t="s">
        <v>74</v>
      </c>
      <c r="M732" t="s">
        <v>79</v>
      </c>
      <c r="N732" t="s">
        <v>126</v>
      </c>
      <c r="O732" t="s">
        <v>74</v>
      </c>
      <c r="P732" t="s">
        <v>74</v>
      </c>
      <c r="Q732" t="s">
        <v>74</v>
      </c>
      <c r="R732" t="s">
        <v>74</v>
      </c>
      <c r="S732" t="s">
        <v>74</v>
      </c>
      <c r="T732" t="s">
        <v>10526</v>
      </c>
      <c r="U732" t="s">
        <v>10527</v>
      </c>
      <c r="V732" t="s">
        <v>10528</v>
      </c>
      <c r="W732" t="s">
        <v>10529</v>
      </c>
      <c r="X732" t="s">
        <v>10505</v>
      </c>
      <c r="Y732" t="s">
        <v>10530</v>
      </c>
      <c r="Z732" t="s">
        <v>10531</v>
      </c>
      <c r="AA732" t="s">
        <v>10532</v>
      </c>
      <c r="AB732" t="s">
        <v>10533</v>
      </c>
      <c r="AC732" t="s">
        <v>74</v>
      </c>
      <c r="AD732" t="s">
        <v>74</v>
      </c>
      <c r="AE732" t="s">
        <v>74</v>
      </c>
      <c r="AF732" t="s">
        <v>74</v>
      </c>
      <c r="AG732">
        <v>41</v>
      </c>
      <c r="AH732">
        <v>58</v>
      </c>
      <c r="AI732">
        <v>64</v>
      </c>
      <c r="AJ732">
        <v>0</v>
      </c>
      <c r="AK732">
        <v>53</v>
      </c>
      <c r="AL732" t="s">
        <v>919</v>
      </c>
      <c r="AM732" t="s">
        <v>613</v>
      </c>
      <c r="AN732" t="s">
        <v>937</v>
      </c>
      <c r="AO732" t="s">
        <v>921</v>
      </c>
      <c r="AP732" t="s">
        <v>938</v>
      </c>
      <c r="AQ732" t="s">
        <v>74</v>
      </c>
      <c r="AR732" t="s">
        <v>922</v>
      </c>
      <c r="AS732" t="s">
        <v>923</v>
      </c>
      <c r="AT732" t="s">
        <v>10473</v>
      </c>
      <c r="AU732">
        <v>2004</v>
      </c>
      <c r="AV732">
        <v>16</v>
      </c>
      <c r="AW732">
        <v>2</v>
      </c>
      <c r="AX732" t="s">
        <v>74</v>
      </c>
      <c r="AY732" t="s">
        <v>74</v>
      </c>
      <c r="AZ732" t="s">
        <v>74</v>
      </c>
      <c r="BA732" t="s">
        <v>74</v>
      </c>
      <c r="BB732">
        <v>129</v>
      </c>
      <c r="BC732">
        <v>131</v>
      </c>
      <c r="BD732" t="s">
        <v>74</v>
      </c>
      <c r="BE732" t="s">
        <v>10534</v>
      </c>
      <c r="BF732" t="str">
        <f>HYPERLINK("http://dx.doi.org/10.1017/S0954102004001877","http://dx.doi.org/10.1017/S0954102004001877")</f>
        <v>http://dx.doi.org/10.1017/S0954102004001877</v>
      </c>
      <c r="BG732" t="s">
        <v>74</v>
      </c>
      <c r="BH732" t="s">
        <v>74</v>
      </c>
      <c r="BI732">
        <v>3</v>
      </c>
      <c r="BJ732" t="s">
        <v>925</v>
      </c>
      <c r="BK732" t="s">
        <v>139</v>
      </c>
      <c r="BL732" t="s">
        <v>926</v>
      </c>
      <c r="BM732" t="s">
        <v>10475</v>
      </c>
      <c r="BN732" t="s">
        <v>74</v>
      </c>
      <c r="BO732" t="s">
        <v>74</v>
      </c>
      <c r="BP732" t="s">
        <v>74</v>
      </c>
      <c r="BQ732" t="s">
        <v>74</v>
      </c>
      <c r="BR732" t="s">
        <v>98</v>
      </c>
      <c r="BS732" t="s">
        <v>10535</v>
      </c>
      <c r="BT732" t="str">
        <f>HYPERLINK("https%3A%2F%2Fwww.webofscience.com%2Fwos%2Fwoscc%2Ffull-record%2FWOS:000222280700006","View Full Record in Web of Science")</f>
        <v>View Full Record in Web of Science</v>
      </c>
    </row>
    <row r="733" spans="1:72" x14ac:dyDescent="0.15">
      <c r="A733" t="s">
        <v>122</v>
      </c>
      <c r="B733" t="s">
        <v>10536</v>
      </c>
      <c r="C733" t="s">
        <v>74</v>
      </c>
      <c r="D733" t="s">
        <v>74</v>
      </c>
      <c r="E733" t="s">
        <v>74</v>
      </c>
      <c r="F733" t="s">
        <v>10536</v>
      </c>
      <c r="G733" t="s">
        <v>74</v>
      </c>
      <c r="H733" t="s">
        <v>74</v>
      </c>
      <c r="I733" t="s">
        <v>10537</v>
      </c>
      <c r="J733" t="s">
        <v>917</v>
      </c>
      <c r="K733" t="s">
        <v>74</v>
      </c>
      <c r="L733" t="s">
        <v>74</v>
      </c>
      <c r="M733" t="s">
        <v>79</v>
      </c>
      <c r="N733" t="s">
        <v>126</v>
      </c>
      <c r="O733" t="s">
        <v>74</v>
      </c>
      <c r="P733" t="s">
        <v>74</v>
      </c>
      <c r="Q733" t="s">
        <v>74</v>
      </c>
      <c r="R733" t="s">
        <v>74</v>
      </c>
      <c r="S733" t="s">
        <v>74</v>
      </c>
      <c r="T733" t="s">
        <v>10538</v>
      </c>
      <c r="U733" t="s">
        <v>10539</v>
      </c>
      <c r="V733" t="s">
        <v>10540</v>
      </c>
      <c r="W733" t="s">
        <v>10541</v>
      </c>
      <c r="X733" t="s">
        <v>10542</v>
      </c>
      <c r="Y733" t="s">
        <v>10543</v>
      </c>
      <c r="Z733" t="s">
        <v>74</v>
      </c>
      <c r="AA733" t="s">
        <v>10544</v>
      </c>
      <c r="AB733" t="s">
        <v>10545</v>
      </c>
      <c r="AC733" t="s">
        <v>74</v>
      </c>
      <c r="AD733" t="s">
        <v>74</v>
      </c>
      <c r="AE733" t="s">
        <v>74</v>
      </c>
      <c r="AF733" t="s">
        <v>74</v>
      </c>
      <c r="AG733">
        <v>43</v>
      </c>
      <c r="AH733">
        <v>8</v>
      </c>
      <c r="AI733">
        <v>8</v>
      </c>
      <c r="AJ733">
        <v>0</v>
      </c>
      <c r="AK733">
        <v>6</v>
      </c>
      <c r="AL733" t="s">
        <v>919</v>
      </c>
      <c r="AM733" t="s">
        <v>613</v>
      </c>
      <c r="AN733" t="s">
        <v>937</v>
      </c>
      <c r="AO733" t="s">
        <v>921</v>
      </c>
      <c r="AP733" t="s">
        <v>938</v>
      </c>
      <c r="AQ733" t="s">
        <v>74</v>
      </c>
      <c r="AR733" t="s">
        <v>922</v>
      </c>
      <c r="AS733" t="s">
        <v>923</v>
      </c>
      <c r="AT733" t="s">
        <v>10473</v>
      </c>
      <c r="AU733">
        <v>2004</v>
      </c>
      <c r="AV733">
        <v>16</v>
      </c>
      <c r="AW733">
        <v>2</v>
      </c>
      <c r="AX733" t="s">
        <v>74</v>
      </c>
      <c r="AY733" t="s">
        <v>74</v>
      </c>
      <c r="AZ733" t="s">
        <v>74</v>
      </c>
      <c r="BA733" t="s">
        <v>74</v>
      </c>
      <c r="BB733">
        <v>133</v>
      </c>
      <c r="BC733">
        <v>142</v>
      </c>
      <c r="BD733" t="s">
        <v>74</v>
      </c>
      <c r="BE733" t="s">
        <v>10546</v>
      </c>
      <c r="BF733" t="str">
        <f>HYPERLINK("http://dx.doi.org/10.1017/S0954102004001968","http://dx.doi.org/10.1017/S0954102004001968")</f>
        <v>http://dx.doi.org/10.1017/S0954102004001968</v>
      </c>
      <c r="BG733" t="s">
        <v>74</v>
      </c>
      <c r="BH733" t="s">
        <v>74</v>
      </c>
      <c r="BI733">
        <v>10</v>
      </c>
      <c r="BJ733" t="s">
        <v>925</v>
      </c>
      <c r="BK733" t="s">
        <v>139</v>
      </c>
      <c r="BL733" t="s">
        <v>926</v>
      </c>
      <c r="BM733" t="s">
        <v>10475</v>
      </c>
      <c r="BN733" t="s">
        <v>74</v>
      </c>
      <c r="BO733" t="s">
        <v>74</v>
      </c>
      <c r="BP733" t="s">
        <v>74</v>
      </c>
      <c r="BQ733" t="s">
        <v>74</v>
      </c>
      <c r="BR733" t="s">
        <v>98</v>
      </c>
      <c r="BS733" t="s">
        <v>10547</v>
      </c>
      <c r="BT733" t="str">
        <f>HYPERLINK("https%3A%2F%2Fwww.webofscience.com%2Fwos%2Fwoscc%2Ffull-record%2FWOS:000222280700007","View Full Record in Web of Science")</f>
        <v>View Full Record in Web of Science</v>
      </c>
    </row>
    <row r="734" spans="1:72" x14ac:dyDescent="0.15">
      <c r="A734" t="s">
        <v>122</v>
      </c>
      <c r="B734" t="s">
        <v>10548</v>
      </c>
      <c r="C734" t="s">
        <v>74</v>
      </c>
      <c r="D734" t="s">
        <v>74</v>
      </c>
      <c r="E734" t="s">
        <v>74</v>
      </c>
      <c r="F734" t="s">
        <v>10548</v>
      </c>
      <c r="G734" t="s">
        <v>74</v>
      </c>
      <c r="H734" t="s">
        <v>74</v>
      </c>
      <c r="I734" t="s">
        <v>10549</v>
      </c>
      <c r="J734" t="s">
        <v>917</v>
      </c>
      <c r="K734" t="s">
        <v>74</v>
      </c>
      <c r="L734" t="s">
        <v>74</v>
      </c>
      <c r="M734" t="s">
        <v>79</v>
      </c>
      <c r="N734" t="s">
        <v>126</v>
      </c>
      <c r="O734" t="s">
        <v>74</v>
      </c>
      <c r="P734" t="s">
        <v>74</v>
      </c>
      <c r="Q734" t="s">
        <v>74</v>
      </c>
      <c r="R734" t="s">
        <v>74</v>
      </c>
      <c r="S734" t="s">
        <v>74</v>
      </c>
      <c r="T734" t="s">
        <v>10550</v>
      </c>
      <c r="U734" t="s">
        <v>10551</v>
      </c>
      <c r="V734" t="s">
        <v>10552</v>
      </c>
      <c r="W734" t="s">
        <v>10553</v>
      </c>
      <c r="X734" t="s">
        <v>10554</v>
      </c>
      <c r="Y734" t="s">
        <v>10555</v>
      </c>
      <c r="Z734" t="s">
        <v>10556</v>
      </c>
      <c r="AA734" t="s">
        <v>74</v>
      </c>
      <c r="AB734" t="s">
        <v>74</v>
      </c>
      <c r="AC734" t="s">
        <v>74</v>
      </c>
      <c r="AD734" t="s">
        <v>74</v>
      </c>
      <c r="AE734" t="s">
        <v>74</v>
      </c>
      <c r="AF734" t="s">
        <v>74</v>
      </c>
      <c r="AG734">
        <v>92</v>
      </c>
      <c r="AH734">
        <v>37</v>
      </c>
      <c r="AI734">
        <v>39</v>
      </c>
      <c r="AJ734">
        <v>0</v>
      </c>
      <c r="AK734">
        <v>22</v>
      </c>
      <c r="AL734" t="s">
        <v>919</v>
      </c>
      <c r="AM734" t="s">
        <v>613</v>
      </c>
      <c r="AN734" t="s">
        <v>920</v>
      </c>
      <c r="AO734" t="s">
        <v>921</v>
      </c>
      <c r="AP734" t="s">
        <v>74</v>
      </c>
      <c r="AQ734" t="s">
        <v>74</v>
      </c>
      <c r="AR734" t="s">
        <v>922</v>
      </c>
      <c r="AS734" t="s">
        <v>923</v>
      </c>
      <c r="AT734" t="s">
        <v>10473</v>
      </c>
      <c r="AU734">
        <v>2004</v>
      </c>
      <c r="AV734">
        <v>16</v>
      </c>
      <c r="AW734">
        <v>2</v>
      </c>
      <c r="AX734" t="s">
        <v>74</v>
      </c>
      <c r="AY734" t="s">
        <v>74</v>
      </c>
      <c r="AZ734" t="s">
        <v>74</v>
      </c>
      <c r="BA734" t="s">
        <v>74</v>
      </c>
      <c r="BB734">
        <v>143</v>
      </c>
      <c r="BC734">
        <v>156</v>
      </c>
      <c r="BD734" t="s">
        <v>74</v>
      </c>
      <c r="BE734" t="s">
        <v>10557</v>
      </c>
      <c r="BF734" t="str">
        <f>HYPERLINK("http://dx.doi.org/10.1017/S0954102004001889","http://dx.doi.org/10.1017/S0954102004001889")</f>
        <v>http://dx.doi.org/10.1017/S0954102004001889</v>
      </c>
      <c r="BG734" t="s">
        <v>74</v>
      </c>
      <c r="BH734" t="s">
        <v>74</v>
      </c>
      <c r="BI734">
        <v>14</v>
      </c>
      <c r="BJ734" t="s">
        <v>925</v>
      </c>
      <c r="BK734" t="s">
        <v>139</v>
      </c>
      <c r="BL734" t="s">
        <v>926</v>
      </c>
      <c r="BM734" t="s">
        <v>10475</v>
      </c>
      <c r="BN734" t="s">
        <v>74</v>
      </c>
      <c r="BO734" t="s">
        <v>74</v>
      </c>
      <c r="BP734" t="s">
        <v>74</v>
      </c>
      <c r="BQ734" t="s">
        <v>74</v>
      </c>
      <c r="BR734" t="s">
        <v>98</v>
      </c>
      <c r="BS734" t="s">
        <v>10558</v>
      </c>
      <c r="BT734" t="str">
        <f>HYPERLINK("https%3A%2F%2Fwww.webofscience.com%2Fwos%2Fwoscc%2Ffull-record%2FWOS:000222280700008","View Full Record in Web of Science")</f>
        <v>View Full Record in Web of Science</v>
      </c>
    </row>
    <row r="735" spans="1:72" x14ac:dyDescent="0.15">
      <c r="A735" t="s">
        <v>122</v>
      </c>
      <c r="B735" t="s">
        <v>10559</v>
      </c>
      <c r="C735" t="s">
        <v>74</v>
      </c>
      <c r="D735" t="s">
        <v>74</v>
      </c>
      <c r="E735" t="s">
        <v>74</v>
      </c>
      <c r="F735" t="s">
        <v>10559</v>
      </c>
      <c r="G735" t="s">
        <v>74</v>
      </c>
      <c r="H735" t="s">
        <v>74</v>
      </c>
      <c r="I735" t="s">
        <v>10560</v>
      </c>
      <c r="J735" t="s">
        <v>917</v>
      </c>
      <c r="K735" t="s">
        <v>74</v>
      </c>
      <c r="L735" t="s">
        <v>74</v>
      </c>
      <c r="M735" t="s">
        <v>79</v>
      </c>
      <c r="N735" t="s">
        <v>126</v>
      </c>
      <c r="O735" t="s">
        <v>74</v>
      </c>
      <c r="P735" t="s">
        <v>74</v>
      </c>
      <c r="Q735" t="s">
        <v>74</v>
      </c>
      <c r="R735" t="s">
        <v>74</v>
      </c>
      <c r="S735" t="s">
        <v>74</v>
      </c>
      <c r="T735" t="s">
        <v>10561</v>
      </c>
      <c r="U735" t="s">
        <v>10562</v>
      </c>
      <c r="V735" t="s">
        <v>10563</v>
      </c>
      <c r="W735" t="s">
        <v>10564</v>
      </c>
      <c r="X735" t="s">
        <v>10565</v>
      </c>
      <c r="Y735" t="s">
        <v>10566</v>
      </c>
      <c r="Z735" t="s">
        <v>10567</v>
      </c>
      <c r="AA735" t="s">
        <v>10568</v>
      </c>
      <c r="AB735" t="s">
        <v>10569</v>
      </c>
      <c r="AC735" t="s">
        <v>74</v>
      </c>
      <c r="AD735" t="s">
        <v>74</v>
      </c>
      <c r="AE735" t="s">
        <v>74</v>
      </c>
      <c r="AF735" t="s">
        <v>74</v>
      </c>
      <c r="AG735">
        <v>43</v>
      </c>
      <c r="AH735">
        <v>15</v>
      </c>
      <c r="AI735">
        <v>15</v>
      </c>
      <c r="AJ735">
        <v>0</v>
      </c>
      <c r="AK735">
        <v>23</v>
      </c>
      <c r="AL735" t="s">
        <v>919</v>
      </c>
      <c r="AM735" t="s">
        <v>613</v>
      </c>
      <c r="AN735" t="s">
        <v>920</v>
      </c>
      <c r="AO735" t="s">
        <v>921</v>
      </c>
      <c r="AP735" t="s">
        <v>74</v>
      </c>
      <c r="AQ735" t="s">
        <v>74</v>
      </c>
      <c r="AR735" t="s">
        <v>922</v>
      </c>
      <c r="AS735" t="s">
        <v>923</v>
      </c>
      <c r="AT735" t="s">
        <v>10473</v>
      </c>
      <c r="AU735">
        <v>2004</v>
      </c>
      <c r="AV735">
        <v>16</v>
      </c>
      <c r="AW735">
        <v>2</v>
      </c>
      <c r="AX735" t="s">
        <v>74</v>
      </c>
      <c r="AY735" t="s">
        <v>74</v>
      </c>
      <c r="AZ735" t="s">
        <v>74</v>
      </c>
      <c r="BA735" t="s">
        <v>74</v>
      </c>
      <c r="BB735">
        <v>157</v>
      </c>
      <c r="BC735">
        <v>164</v>
      </c>
      <c r="BD735" t="s">
        <v>74</v>
      </c>
      <c r="BE735" t="s">
        <v>10570</v>
      </c>
      <c r="BF735" t="str">
        <f>HYPERLINK("http://dx.doi.org/10.1017/S0954102004001956","http://dx.doi.org/10.1017/S0954102004001956")</f>
        <v>http://dx.doi.org/10.1017/S0954102004001956</v>
      </c>
      <c r="BG735" t="s">
        <v>74</v>
      </c>
      <c r="BH735" t="s">
        <v>74</v>
      </c>
      <c r="BI735">
        <v>8</v>
      </c>
      <c r="BJ735" t="s">
        <v>925</v>
      </c>
      <c r="BK735" t="s">
        <v>139</v>
      </c>
      <c r="BL735" t="s">
        <v>926</v>
      </c>
      <c r="BM735" t="s">
        <v>10475</v>
      </c>
      <c r="BN735" t="s">
        <v>74</v>
      </c>
      <c r="BO735" t="s">
        <v>74</v>
      </c>
      <c r="BP735" t="s">
        <v>74</v>
      </c>
      <c r="BQ735" t="s">
        <v>74</v>
      </c>
      <c r="BR735" t="s">
        <v>98</v>
      </c>
      <c r="BS735" t="s">
        <v>10571</v>
      </c>
      <c r="BT735" t="str">
        <f>HYPERLINK("https%3A%2F%2Fwww.webofscience.com%2Fwos%2Fwoscc%2Ffull-record%2FWOS:000222280700009","View Full Record in Web of Science")</f>
        <v>View Full Record in Web of Science</v>
      </c>
    </row>
    <row r="736" spans="1:72" x14ac:dyDescent="0.15">
      <c r="A736" t="s">
        <v>122</v>
      </c>
      <c r="B736" t="s">
        <v>10572</v>
      </c>
      <c r="C736" t="s">
        <v>74</v>
      </c>
      <c r="D736" t="s">
        <v>74</v>
      </c>
      <c r="E736" t="s">
        <v>74</v>
      </c>
      <c r="F736" t="s">
        <v>10572</v>
      </c>
      <c r="G736" t="s">
        <v>74</v>
      </c>
      <c r="H736" t="s">
        <v>74</v>
      </c>
      <c r="I736" t="s">
        <v>10573</v>
      </c>
      <c r="J736" t="s">
        <v>917</v>
      </c>
      <c r="K736" t="s">
        <v>74</v>
      </c>
      <c r="L736" t="s">
        <v>74</v>
      </c>
      <c r="M736" t="s">
        <v>79</v>
      </c>
      <c r="N736" t="s">
        <v>126</v>
      </c>
      <c r="O736" t="s">
        <v>74</v>
      </c>
      <c r="P736" t="s">
        <v>74</v>
      </c>
      <c r="Q736" t="s">
        <v>74</v>
      </c>
      <c r="R736" t="s">
        <v>74</v>
      </c>
      <c r="S736" t="s">
        <v>74</v>
      </c>
      <c r="T736" t="s">
        <v>10574</v>
      </c>
      <c r="U736" t="s">
        <v>10575</v>
      </c>
      <c r="V736" t="s">
        <v>10576</v>
      </c>
      <c r="W736" t="s">
        <v>2873</v>
      </c>
      <c r="X736" t="s">
        <v>2874</v>
      </c>
      <c r="Y736" t="s">
        <v>10577</v>
      </c>
      <c r="Z736" t="s">
        <v>2876</v>
      </c>
      <c r="AA736" t="s">
        <v>74</v>
      </c>
      <c r="AB736" t="s">
        <v>74</v>
      </c>
      <c r="AC736" t="s">
        <v>74</v>
      </c>
      <c r="AD736" t="s">
        <v>74</v>
      </c>
      <c r="AE736" t="s">
        <v>74</v>
      </c>
      <c r="AF736" t="s">
        <v>74</v>
      </c>
      <c r="AG736">
        <v>42</v>
      </c>
      <c r="AH736">
        <v>19</v>
      </c>
      <c r="AI736">
        <v>21</v>
      </c>
      <c r="AJ736">
        <v>0</v>
      </c>
      <c r="AK736">
        <v>3</v>
      </c>
      <c r="AL736" t="s">
        <v>919</v>
      </c>
      <c r="AM736" t="s">
        <v>613</v>
      </c>
      <c r="AN736" t="s">
        <v>937</v>
      </c>
      <c r="AO736" t="s">
        <v>921</v>
      </c>
      <c r="AP736" t="s">
        <v>938</v>
      </c>
      <c r="AQ736" t="s">
        <v>74</v>
      </c>
      <c r="AR736" t="s">
        <v>922</v>
      </c>
      <c r="AS736" t="s">
        <v>923</v>
      </c>
      <c r="AT736" t="s">
        <v>10473</v>
      </c>
      <c r="AU736">
        <v>2004</v>
      </c>
      <c r="AV736">
        <v>16</v>
      </c>
      <c r="AW736">
        <v>2</v>
      </c>
      <c r="AX736" t="s">
        <v>74</v>
      </c>
      <c r="AY736" t="s">
        <v>74</v>
      </c>
      <c r="AZ736" t="s">
        <v>74</v>
      </c>
      <c r="BA736" t="s">
        <v>74</v>
      </c>
      <c r="BB736">
        <v>165</v>
      </c>
      <c r="BC736">
        <v>174</v>
      </c>
      <c r="BD736" t="s">
        <v>74</v>
      </c>
      <c r="BE736" t="s">
        <v>10578</v>
      </c>
      <c r="BF736" t="str">
        <f>HYPERLINK("http://dx.doi.org/10.1017/S0954102004001993","http://dx.doi.org/10.1017/S0954102004001993")</f>
        <v>http://dx.doi.org/10.1017/S0954102004001993</v>
      </c>
      <c r="BG736" t="s">
        <v>74</v>
      </c>
      <c r="BH736" t="s">
        <v>74</v>
      </c>
      <c r="BI736">
        <v>10</v>
      </c>
      <c r="BJ736" t="s">
        <v>925</v>
      </c>
      <c r="BK736" t="s">
        <v>139</v>
      </c>
      <c r="BL736" t="s">
        <v>926</v>
      </c>
      <c r="BM736" t="s">
        <v>10475</v>
      </c>
      <c r="BN736" t="s">
        <v>74</v>
      </c>
      <c r="BO736" t="s">
        <v>74</v>
      </c>
      <c r="BP736" t="s">
        <v>74</v>
      </c>
      <c r="BQ736" t="s">
        <v>74</v>
      </c>
      <c r="BR736" t="s">
        <v>98</v>
      </c>
      <c r="BS736" t="s">
        <v>10579</v>
      </c>
      <c r="BT736" t="str">
        <f>HYPERLINK("https%3A%2F%2Fwww.webofscience.com%2Fwos%2Fwoscc%2Ffull-record%2FWOS:000222280700010","View Full Record in Web of Science")</f>
        <v>View Full Record in Web of Science</v>
      </c>
    </row>
    <row r="737" spans="1:72" x14ac:dyDescent="0.15">
      <c r="A737" t="s">
        <v>122</v>
      </c>
      <c r="B737" t="s">
        <v>10580</v>
      </c>
      <c r="C737" t="s">
        <v>74</v>
      </c>
      <c r="D737" t="s">
        <v>74</v>
      </c>
      <c r="E737" t="s">
        <v>74</v>
      </c>
      <c r="F737" t="s">
        <v>10580</v>
      </c>
      <c r="G737" t="s">
        <v>74</v>
      </c>
      <c r="H737" t="s">
        <v>74</v>
      </c>
      <c r="I737" t="s">
        <v>10581</v>
      </c>
      <c r="J737" t="s">
        <v>917</v>
      </c>
      <c r="K737" t="s">
        <v>74</v>
      </c>
      <c r="L737" t="s">
        <v>74</v>
      </c>
      <c r="M737" t="s">
        <v>79</v>
      </c>
      <c r="N737" t="s">
        <v>126</v>
      </c>
      <c r="O737" t="s">
        <v>74</v>
      </c>
      <c r="P737" t="s">
        <v>74</v>
      </c>
      <c r="Q737" t="s">
        <v>74</v>
      </c>
      <c r="R737" t="s">
        <v>74</v>
      </c>
      <c r="S737" t="s">
        <v>74</v>
      </c>
      <c r="T737" t="s">
        <v>10582</v>
      </c>
      <c r="U737" t="s">
        <v>10583</v>
      </c>
      <c r="V737" t="s">
        <v>10584</v>
      </c>
      <c r="W737" t="s">
        <v>10585</v>
      </c>
      <c r="X737" t="s">
        <v>2750</v>
      </c>
      <c r="Y737" t="s">
        <v>10586</v>
      </c>
      <c r="Z737" t="s">
        <v>10587</v>
      </c>
      <c r="AA737" t="s">
        <v>10588</v>
      </c>
      <c r="AB737" t="s">
        <v>10589</v>
      </c>
      <c r="AC737" t="s">
        <v>74</v>
      </c>
      <c r="AD737" t="s">
        <v>74</v>
      </c>
      <c r="AE737" t="s">
        <v>74</v>
      </c>
      <c r="AF737" t="s">
        <v>74</v>
      </c>
      <c r="AG737">
        <v>51</v>
      </c>
      <c r="AH737">
        <v>16</v>
      </c>
      <c r="AI737">
        <v>17</v>
      </c>
      <c r="AJ737">
        <v>1</v>
      </c>
      <c r="AK737">
        <v>9</v>
      </c>
      <c r="AL737" t="s">
        <v>919</v>
      </c>
      <c r="AM737" t="s">
        <v>613</v>
      </c>
      <c r="AN737" t="s">
        <v>937</v>
      </c>
      <c r="AO737" t="s">
        <v>921</v>
      </c>
      <c r="AP737" t="s">
        <v>938</v>
      </c>
      <c r="AQ737" t="s">
        <v>74</v>
      </c>
      <c r="AR737" t="s">
        <v>922</v>
      </c>
      <c r="AS737" t="s">
        <v>923</v>
      </c>
      <c r="AT737" t="s">
        <v>10473</v>
      </c>
      <c r="AU737">
        <v>2004</v>
      </c>
      <c r="AV737">
        <v>16</v>
      </c>
      <c r="AW737">
        <v>2</v>
      </c>
      <c r="AX737" t="s">
        <v>74</v>
      </c>
      <c r="AY737" t="s">
        <v>74</v>
      </c>
      <c r="AZ737" t="s">
        <v>74</v>
      </c>
      <c r="BA737" t="s">
        <v>74</v>
      </c>
      <c r="BB737">
        <v>175</v>
      </c>
      <c r="BC737">
        <v>184</v>
      </c>
      <c r="BD737" t="s">
        <v>74</v>
      </c>
      <c r="BE737" t="s">
        <v>10590</v>
      </c>
      <c r="BF737" t="str">
        <f>HYPERLINK("http://dx.doi.org/10.1017/S0954102004001920","http://dx.doi.org/10.1017/S0954102004001920")</f>
        <v>http://dx.doi.org/10.1017/S0954102004001920</v>
      </c>
      <c r="BG737" t="s">
        <v>74</v>
      </c>
      <c r="BH737" t="s">
        <v>74</v>
      </c>
      <c r="BI737">
        <v>10</v>
      </c>
      <c r="BJ737" t="s">
        <v>925</v>
      </c>
      <c r="BK737" t="s">
        <v>139</v>
      </c>
      <c r="BL737" t="s">
        <v>926</v>
      </c>
      <c r="BM737" t="s">
        <v>10475</v>
      </c>
      <c r="BN737" t="s">
        <v>74</v>
      </c>
      <c r="BO737" t="s">
        <v>74</v>
      </c>
      <c r="BP737" t="s">
        <v>74</v>
      </c>
      <c r="BQ737" t="s">
        <v>74</v>
      </c>
      <c r="BR737" t="s">
        <v>98</v>
      </c>
      <c r="BS737" t="s">
        <v>10591</v>
      </c>
      <c r="BT737" t="str">
        <f>HYPERLINK("https%3A%2F%2Fwww.webofscience.com%2Fwos%2Fwoscc%2Ffull-record%2FWOS:000222280700011","View Full Record in Web of Science")</f>
        <v>View Full Record in Web of Science</v>
      </c>
    </row>
    <row r="738" spans="1:72" x14ac:dyDescent="0.15">
      <c r="A738" t="s">
        <v>122</v>
      </c>
      <c r="B738" t="s">
        <v>10592</v>
      </c>
      <c r="C738" t="s">
        <v>74</v>
      </c>
      <c r="D738" t="s">
        <v>74</v>
      </c>
      <c r="E738" t="s">
        <v>74</v>
      </c>
      <c r="F738" t="s">
        <v>10592</v>
      </c>
      <c r="G738" t="s">
        <v>74</v>
      </c>
      <c r="H738" t="s">
        <v>74</v>
      </c>
      <c r="I738" t="s">
        <v>10593</v>
      </c>
      <c r="J738" t="s">
        <v>917</v>
      </c>
      <c r="K738" t="s">
        <v>74</v>
      </c>
      <c r="L738" t="s">
        <v>74</v>
      </c>
      <c r="M738" t="s">
        <v>79</v>
      </c>
      <c r="N738" t="s">
        <v>126</v>
      </c>
      <c r="O738" t="s">
        <v>74</v>
      </c>
      <c r="P738" t="s">
        <v>74</v>
      </c>
      <c r="Q738" t="s">
        <v>74</v>
      </c>
      <c r="R738" t="s">
        <v>74</v>
      </c>
      <c r="S738" t="s">
        <v>74</v>
      </c>
      <c r="T738" t="s">
        <v>10594</v>
      </c>
      <c r="U738" t="s">
        <v>10595</v>
      </c>
      <c r="V738" t="s">
        <v>10596</v>
      </c>
      <c r="W738" t="s">
        <v>10597</v>
      </c>
      <c r="X738" t="s">
        <v>10598</v>
      </c>
      <c r="Y738" t="s">
        <v>10599</v>
      </c>
      <c r="Z738" t="s">
        <v>74</v>
      </c>
      <c r="AA738" t="s">
        <v>10600</v>
      </c>
      <c r="AB738" t="s">
        <v>10601</v>
      </c>
      <c r="AC738" t="s">
        <v>74</v>
      </c>
      <c r="AD738" t="s">
        <v>74</v>
      </c>
      <c r="AE738" t="s">
        <v>74</v>
      </c>
      <c r="AF738" t="s">
        <v>74</v>
      </c>
      <c r="AG738">
        <v>15</v>
      </c>
      <c r="AH738">
        <v>8</v>
      </c>
      <c r="AI738">
        <v>8</v>
      </c>
      <c r="AJ738">
        <v>0</v>
      </c>
      <c r="AK738">
        <v>2</v>
      </c>
      <c r="AL738" t="s">
        <v>919</v>
      </c>
      <c r="AM738" t="s">
        <v>613</v>
      </c>
      <c r="AN738" t="s">
        <v>920</v>
      </c>
      <c r="AO738" t="s">
        <v>921</v>
      </c>
      <c r="AP738" t="s">
        <v>74</v>
      </c>
      <c r="AQ738" t="s">
        <v>74</v>
      </c>
      <c r="AR738" t="s">
        <v>922</v>
      </c>
      <c r="AS738" t="s">
        <v>923</v>
      </c>
      <c r="AT738" t="s">
        <v>10473</v>
      </c>
      <c r="AU738">
        <v>2004</v>
      </c>
      <c r="AV738">
        <v>16</v>
      </c>
      <c r="AW738">
        <v>2</v>
      </c>
      <c r="AX738" t="s">
        <v>74</v>
      </c>
      <c r="AY738" t="s">
        <v>74</v>
      </c>
      <c r="AZ738" t="s">
        <v>74</v>
      </c>
      <c r="BA738" t="s">
        <v>74</v>
      </c>
      <c r="BB738">
        <v>185</v>
      </c>
      <c r="BC738">
        <v>190</v>
      </c>
      <c r="BD738" t="s">
        <v>74</v>
      </c>
      <c r="BE738" t="s">
        <v>10602</v>
      </c>
      <c r="BF738" t="str">
        <f>HYPERLINK("http://dx.doi.org/10.1017/S0954102004001944","http://dx.doi.org/10.1017/S0954102004001944")</f>
        <v>http://dx.doi.org/10.1017/S0954102004001944</v>
      </c>
      <c r="BG738" t="s">
        <v>74</v>
      </c>
      <c r="BH738" t="s">
        <v>74</v>
      </c>
      <c r="BI738">
        <v>6</v>
      </c>
      <c r="BJ738" t="s">
        <v>925</v>
      </c>
      <c r="BK738" t="s">
        <v>139</v>
      </c>
      <c r="BL738" t="s">
        <v>926</v>
      </c>
      <c r="BM738" t="s">
        <v>10475</v>
      </c>
      <c r="BN738" t="s">
        <v>74</v>
      </c>
      <c r="BO738" t="s">
        <v>74</v>
      </c>
      <c r="BP738" t="s">
        <v>74</v>
      </c>
      <c r="BQ738" t="s">
        <v>74</v>
      </c>
      <c r="BR738" t="s">
        <v>98</v>
      </c>
      <c r="BS738" t="s">
        <v>10603</v>
      </c>
      <c r="BT738" t="str">
        <f>HYPERLINK("https%3A%2F%2Fwww.webofscience.com%2Fwos%2Fwoscc%2Ffull-record%2FWOS:000222280700012","View Full Record in Web of Science")</f>
        <v>View Full Record in Web of Science</v>
      </c>
    </row>
    <row r="739" spans="1:72" x14ac:dyDescent="0.15">
      <c r="A739" t="s">
        <v>122</v>
      </c>
      <c r="B739" t="s">
        <v>10604</v>
      </c>
      <c r="C739" t="s">
        <v>74</v>
      </c>
      <c r="D739" t="s">
        <v>74</v>
      </c>
      <c r="E739" t="s">
        <v>74</v>
      </c>
      <c r="F739" t="s">
        <v>10604</v>
      </c>
      <c r="G739" t="s">
        <v>74</v>
      </c>
      <c r="H739" t="s">
        <v>74</v>
      </c>
      <c r="I739" t="s">
        <v>10605</v>
      </c>
      <c r="J739" t="s">
        <v>917</v>
      </c>
      <c r="K739" t="s">
        <v>74</v>
      </c>
      <c r="L739" t="s">
        <v>74</v>
      </c>
      <c r="M739" t="s">
        <v>79</v>
      </c>
      <c r="N739" t="s">
        <v>126</v>
      </c>
      <c r="O739" t="s">
        <v>74</v>
      </c>
      <c r="P739" t="s">
        <v>74</v>
      </c>
      <c r="Q739" t="s">
        <v>74</v>
      </c>
      <c r="R739" t="s">
        <v>74</v>
      </c>
      <c r="S739" t="s">
        <v>74</v>
      </c>
      <c r="T739" t="s">
        <v>10606</v>
      </c>
      <c r="U739" t="s">
        <v>10607</v>
      </c>
      <c r="V739" t="s">
        <v>10608</v>
      </c>
      <c r="W739" t="s">
        <v>10609</v>
      </c>
      <c r="X739" t="s">
        <v>10610</v>
      </c>
      <c r="Y739" t="s">
        <v>10611</v>
      </c>
      <c r="Z739" t="s">
        <v>10612</v>
      </c>
      <c r="AA739" t="s">
        <v>10613</v>
      </c>
      <c r="AB739" t="s">
        <v>10614</v>
      </c>
      <c r="AC739" t="s">
        <v>74</v>
      </c>
      <c r="AD739" t="s">
        <v>74</v>
      </c>
      <c r="AE739" t="s">
        <v>74</v>
      </c>
      <c r="AF739" t="s">
        <v>74</v>
      </c>
      <c r="AG739">
        <v>38</v>
      </c>
      <c r="AH739">
        <v>8</v>
      </c>
      <c r="AI739">
        <v>8</v>
      </c>
      <c r="AJ739">
        <v>0</v>
      </c>
      <c r="AK739">
        <v>4</v>
      </c>
      <c r="AL739" t="s">
        <v>919</v>
      </c>
      <c r="AM739" t="s">
        <v>613</v>
      </c>
      <c r="AN739" t="s">
        <v>937</v>
      </c>
      <c r="AO739" t="s">
        <v>921</v>
      </c>
      <c r="AP739" t="s">
        <v>938</v>
      </c>
      <c r="AQ739" t="s">
        <v>74</v>
      </c>
      <c r="AR739" t="s">
        <v>922</v>
      </c>
      <c r="AS739" t="s">
        <v>923</v>
      </c>
      <c r="AT739" t="s">
        <v>10473</v>
      </c>
      <c r="AU739">
        <v>2004</v>
      </c>
      <c r="AV739">
        <v>16</v>
      </c>
      <c r="AW739">
        <v>2</v>
      </c>
      <c r="AX739" t="s">
        <v>74</v>
      </c>
      <c r="AY739" t="s">
        <v>74</v>
      </c>
      <c r="AZ739" t="s">
        <v>74</v>
      </c>
      <c r="BA739" t="s">
        <v>74</v>
      </c>
      <c r="BB739">
        <v>191</v>
      </c>
      <c r="BC739">
        <v>197</v>
      </c>
      <c r="BD739" t="s">
        <v>74</v>
      </c>
      <c r="BE739" t="s">
        <v>10615</v>
      </c>
      <c r="BF739" t="str">
        <f>HYPERLINK("http://dx.doi.org/10.1017/S0954102004001907","http://dx.doi.org/10.1017/S0954102004001907")</f>
        <v>http://dx.doi.org/10.1017/S0954102004001907</v>
      </c>
      <c r="BG739" t="s">
        <v>74</v>
      </c>
      <c r="BH739" t="s">
        <v>74</v>
      </c>
      <c r="BI739">
        <v>7</v>
      </c>
      <c r="BJ739" t="s">
        <v>925</v>
      </c>
      <c r="BK739" t="s">
        <v>139</v>
      </c>
      <c r="BL739" t="s">
        <v>926</v>
      </c>
      <c r="BM739" t="s">
        <v>10475</v>
      </c>
      <c r="BN739" t="s">
        <v>74</v>
      </c>
      <c r="BO739" t="s">
        <v>74</v>
      </c>
      <c r="BP739" t="s">
        <v>74</v>
      </c>
      <c r="BQ739" t="s">
        <v>74</v>
      </c>
      <c r="BR739" t="s">
        <v>98</v>
      </c>
      <c r="BS739" t="s">
        <v>10616</v>
      </c>
      <c r="BT739" t="str">
        <f>HYPERLINK("https%3A%2F%2Fwww.webofscience.com%2Fwos%2Fwoscc%2Ffull-record%2FWOS:000222280700013","View Full Record in Web of Science")</f>
        <v>View Full Record in Web of Science</v>
      </c>
    </row>
    <row r="740" spans="1:72" x14ac:dyDescent="0.15">
      <c r="A740" t="s">
        <v>122</v>
      </c>
      <c r="B740" t="s">
        <v>10617</v>
      </c>
      <c r="C740" t="s">
        <v>74</v>
      </c>
      <c r="D740" t="s">
        <v>74</v>
      </c>
      <c r="E740" t="s">
        <v>74</v>
      </c>
      <c r="F740" t="s">
        <v>10617</v>
      </c>
      <c r="G740" t="s">
        <v>74</v>
      </c>
      <c r="H740" t="s">
        <v>74</v>
      </c>
      <c r="I740" t="s">
        <v>10618</v>
      </c>
      <c r="J740" t="s">
        <v>917</v>
      </c>
      <c r="K740" t="s">
        <v>74</v>
      </c>
      <c r="L740" t="s">
        <v>74</v>
      </c>
      <c r="M740" t="s">
        <v>79</v>
      </c>
      <c r="N740" t="s">
        <v>126</v>
      </c>
      <c r="O740" t="s">
        <v>74</v>
      </c>
      <c r="P740" t="s">
        <v>74</v>
      </c>
      <c r="Q740" t="s">
        <v>74</v>
      </c>
      <c r="R740" t="s">
        <v>74</v>
      </c>
      <c r="S740" t="s">
        <v>74</v>
      </c>
      <c r="T740" t="s">
        <v>10619</v>
      </c>
      <c r="U740" t="s">
        <v>10620</v>
      </c>
      <c r="V740" t="s">
        <v>10621</v>
      </c>
      <c r="W740" t="s">
        <v>10622</v>
      </c>
      <c r="X740" t="s">
        <v>10623</v>
      </c>
      <c r="Y740" t="s">
        <v>10624</v>
      </c>
      <c r="Z740" t="s">
        <v>10625</v>
      </c>
      <c r="AA740" t="s">
        <v>10626</v>
      </c>
      <c r="AB740" t="s">
        <v>10627</v>
      </c>
      <c r="AC740" t="s">
        <v>74</v>
      </c>
      <c r="AD740" t="s">
        <v>74</v>
      </c>
      <c r="AE740" t="s">
        <v>74</v>
      </c>
      <c r="AF740" t="s">
        <v>74</v>
      </c>
      <c r="AG740">
        <v>15</v>
      </c>
      <c r="AH740">
        <v>18</v>
      </c>
      <c r="AI740">
        <v>20</v>
      </c>
      <c r="AJ740">
        <v>0</v>
      </c>
      <c r="AK740">
        <v>6</v>
      </c>
      <c r="AL740" t="s">
        <v>919</v>
      </c>
      <c r="AM740" t="s">
        <v>613</v>
      </c>
      <c r="AN740" t="s">
        <v>937</v>
      </c>
      <c r="AO740" t="s">
        <v>921</v>
      </c>
      <c r="AP740" t="s">
        <v>938</v>
      </c>
      <c r="AQ740" t="s">
        <v>74</v>
      </c>
      <c r="AR740" t="s">
        <v>922</v>
      </c>
      <c r="AS740" t="s">
        <v>923</v>
      </c>
      <c r="AT740" t="s">
        <v>10473</v>
      </c>
      <c r="AU740">
        <v>2004</v>
      </c>
      <c r="AV740">
        <v>16</v>
      </c>
      <c r="AW740">
        <v>2</v>
      </c>
      <c r="AX740" t="s">
        <v>74</v>
      </c>
      <c r="AY740" t="s">
        <v>74</v>
      </c>
      <c r="AZ740" t="s">
        <v>74</v>
      </c>
      <c r="BA740" t="s">
        <v>74</v>
      </c>
      <c r="BB740">
        <v>199</v>
      </c>
      <c r="BC740">
        <v>204</v>
      </c>
      <c r="BD740" t="s">
        <v>74</v>
      </c>
      <c r="BE740" t="s">
        <v>10628</v>
      </c>
      <c r="BF740" t="str">
        <f>HYPERLINK("http://dx.doi.org/10.1017/S0954102004001981","http://dx.doi.org/10.1017/S0954102004001981")</f>
        <v>http://dx.doi.org/10.1017/S0954102004001981</v>
      </c>
      <c r="BG740" t="s">
        <v>74</v>
      </c>
      <c r="BH740" t="s">
        <v>74</v>
      </c>
      <c r="BI740">
        <v>6</v>
      </c>
      <c r="BJ740" t="s">
        <v>925</v>
      </c>
      <c r="BK740" t="s">
        <v>139</v>
      </c>
      <c r="BL740" t="s">
        <v>926</v>
      </c>
      <c r="BM740" t="s">
        <v>10475</v>
      </c>
      <c r="BN740" t="s">
        <v>74</v>
      </c>
      <c r="BO740" t="s">
        <v>74</v>
      </c>
      <c r="BP740" t="s">
        <v>74</v>
      </c>
      <c r="BQ740" t="s">
        <v>74</v>
      </c>
      <c r="BR740" t="s">
        <v>98</v>
      </c>
      <c r="BS740" t="s">
        <v>10629</v>
      </c>
      <c r="BT740" t="str">
        <f>HYPERLINK("https%3A%2F%2Fwww.webofscience.com%2Fwos%2Fwoscc%2Ffull-record%2FWOS:000222280700014","View Full Record in Web of Science")</f>
        <v>View Full Record in Web of Science</v>
      </c>
    </row>
    <row r="741" spans="1:72" x14ac:dyDescent="0.15">
      <c r="A741" t="s">
        <v>122</v>
      </c>
      <c r="B741" t="s">
        <v>10630</v>
      </c>
      <c r="C741" t="s">
        <v>74</v>
      </c>
      <c r="D741" t="s">
        <v>74</v>
      </c>
      <c r="E741" t="s">
        <v>74</v>
      </c>
      <c r="F741" t="s">
        <v>10630</v>
      </c>
      <c r="G741" t="s">
        <v>74</v>
      </c>
      <c r="H741" t="s">
        <v>74</v>
      </c>
      <c r="I741" t="s">
        <v>10631</v>
      </c>
      <c r="J741" t="s">
        <v>917</v>
      </c>
      <c r="K741" t="s">
        <v>74</v>
      </c>
      <c r="L741" t="s">
        <v>74</v>
      </c>
      <c r="M741" t="s">
        <v>79</v>
      </c>
      <c r="N741" t="s">
        <v>126</v>
      </c>
      <c r="O741" t="s">
        <v>74</v>
      </c>
      <c r="P741" t="s">
        <v>74</v>
      </c>
      <c r="Q741" t="s">
        <v>74</v>
      </c>
      <c r="R741" t="s">
        <v>74</v>
      </c>
      <c r="S741" t="s">
        <v>74</v>
      </c>
      <c r="T741" t="s">
        <v>10632</v>
      </c>
      <c r="U741" t="s">
        <v>10633</v>
      </c>
      <c r="V741" t="s">
        <v>10634</v>
      </c>
      <c r="W741" t="s">
        <v>10635</v>
      </c>
      <c r="X741" t="s">
        <v>2007</v>
      </c>
      <c r="Y741" t="s">
        <v>10636</v>
      </c>
      <c r="Z741" t="s">
        <v>10637</v>
      </c>
      <c r="AA741" t="s">
        <v>10638</v>
      </c>
      <c r="AB741" t="s">
        <v>10639</v>
      </c>
      <c r="AC741" t="s">
        <v>74</v>
      </c>
      <c r="AD741" t="s">
        <v>74</v>
      </c>
      <c r="AE741" t="s">
        <v>74</v>
      </c>
      <c r="AF741" t="s">
        <v>74</v>
      </c>
      <c r="AG741">
        <v>35</v>
      </c>
      <c r="AH741">
        <v>18</v>
      </c>
      <c r="AI741">
        <v>22</v>
      </c>
      <c r="AJ741">
        <v>0</v>
      </c>
      <c r="AK741">
        <v>9</v>
      </c>
      <c r="AL741" t="s">
        <v>919</v>
      </c>
      <c r="AM741" t="s">
        <v>613</v>
      </c>
      <c r="AN741" t="s">
        <v>937</v>
      </c>
      <c r="AO741" t="s">
        <v>921</v>
      </c>
      <c r="AP741" t="s">
        <v>938</v>
      </c>
      <c r="AQ741" t="s">
        <v>74</v>
      </c>
      <c r="AR741" t="s">
        <v>922</v>
      </c>
      <c r="AS741" t="s">
        <v>923</v>
      </c>
      <c r="AT741" t="s">
        <v>10473</v>
      </c>
      <c r="AU741">
        <v>2004</v>
      </c>
      <c r="AV741">
        <v>16</v>
      </c>
      <c r="AW741">
        <v>2</v>
      </c>
      <c r="AX741" t="s">
        <v>74</v>
      </c>
      <c r="AY741" t="s">
        <v>74</v>
      </c>
      <c r="AZ741" t="s">
        <v>74</v>
      </c>
      <c r="BA741" t="s">
        <v>74</v>
      </c>
      <c r="BB741">
        <v>205</v>
      </c>
      <c r="BC741">
        <v>213</v>
      </c>
      <c r="BD741" t="s">
        <v>74</v>
      </c>
      <c r="BE741" t="s">
        <v>10640</v>
      </c>
      <c r="BF741" t="str">
        <f>HYPERLINK("http://dx.doi.org/10.1017/S0954102004001919","http://dx.doi.org/10.1017/S0954102004001919")</f>
        <v>http://dx.doi.org/10.1017/S0954102004001919</v>
      </c>
      <c r="BG741" t="s">
        <v>74</v>
      </c>
      <c r="BH741" t="s">
        <v>74</v>
      </c>
      <c r="BI741">
        <v>9</v>
      </c>
      <c r="BJ741" t="s">
        <v>925</v>
      </c>
      <c r="BK741" t="s">
        <v>139</v>
      </c>
      <c r="BL741" t="s">
        <v>926</v>
      </c>
      <c r="BM741" t="s">
        <v>10475</v>
      </c>
      <c r="BN741" t="s">
        <v>74</v>
      </c>
      <c r="BO741" t="s">
        <v>74</v>
      </c>
      <c r="BP741" t="s">
        <v>74</v>
      </c>
      <c r="BQ741" t="s">
        <v>74</v>
      </c>
      <c r="BR741" t="s">
        <v>98</v>
      </c>
      <c r="BS741" t="s">
        <v>10641</v>
      </c>
      <c r="BT741" t="str">
        <f>HYPERLINK("https%3A%2F%2Fwww.webofscience.com%2Fwos%2Fwoscc%2Ffull-record%2FWOS:000222280700015","View Full Record in Web of Science")</f>
        <v>View Full Record in Web of Science</v>
      </c>
    </row>
    <row r="742" spans="1:72" x14ac:dyDescent="0.15">
      <c r="A742" t="s">
        <v>122</v>
      </c>
      <c r="B742" t="s">
        <v>10642</v>
      </c>
      <c r="C742" t="s">
        <v>74</v>
      </c>
      <c r="D742" t="s">
        <v>74</v>
      </c>
      <c r="E742" t="s">
        <v>74</v>
      </c>
      <c r="F742" t="s">
        <v>10642</v>
      </c>
      <c r="G742" t="s">
        <v>74</v>
      </c>
      <c r="H742" t="s">
        <v>74</v>
      </c>
      <c r="I742" t="s">
        <v>10643</v>
      </c>
      <c r="J742" t="s">
        <v>4446</v>
      </c>
      <c r="K742" t="s">
        <v>74</v>
      </c>
      <c r="L742" t="s">
        <v>74</v>
      </c>
      <c r="M742" t="s">
        <v>79</v>
      </c>
      <c r="N742" t="s">
        <v>126</v>
      </c>
      <c r="O742" t="s">
        <v>74</v>
      </c>
      <c r="P742" t="s">
        <v>74</v>
      </c>
      <c r="Q742" t="s">
        <v>74</v>
      </c>
      <c r="R742" t="s">
        <v>74</v>
      </c>
      <c r="S742" t="s">
        <v>74</v>
      </c>
      <c r="T742" t="s">
        <v>10644</v>
      </c>
      <c r="U742" t="s">
        <v>10645</v>
      </c>
      <c r="V742" t="s">
        <v>10646</v>
      </c>
      <c r="W742" t="s">
        <v>10647</v>
      </c>
      <c r="X742" t="s">
        <v>10648</v>
      </c>
      <c r="Y742" t="s">
        <v>10649</v>
      </c>
      <c r="Z742" t="s">
        <v>10650</v>
      </c>
      <c r="AA742" t="s">
        <v>10651</v>
      </c>
      <c r="AB742" t="s">
        <v>10652</v>
      </c>
      <c r="AC742" t="s">
        <v>74</v>
      </c>
      <c r="AD742" t="s">
        <v>74</v>
      </c>
      <c r="AE742" t="s">
        <v>74</v>
      </c>
      <c r="AF742" t="s">
        <v>74</v>
      </c>
      <c r="AG742">
        <v>39</v>
      </c>
      <c r="AH742">
        <v>114</v>
      </c>
      <c r="AI742">
        <v>132</v>
      </c>
      <c r="AJ742">
        <v>0</v>
      </c>
      <c r="AK742">
        <v>33</v>
      </c>
      <c r="AL742" t="s">
        <v>3797</v>
      </c>
      <c r="AM742" t="s">
        <v>197</v>
      </c>
      <c r="AN742" t="s">
        <v>3798</v>
      </c>
      <c r="AO742" t="s">
        <v>4456</v>
      </c>
      <c r="AP742" t="s">
        <v>4457</v>
      </c>
      <c r="AQ742" t="s">
        <v>74</v>
      </c>
      <c r="AR742" t="s">
        <v>4458</v>
      </c>
      <c r="AS742" t="s">
        <v>4459</v>
      </c>
      <c r="AT742" t="s">
        <v>10473</v>
      </c>
      <c r="AU742">
        <v>2004</v>
      </c>
      <c r="AV742">
        <v>117</v>
      </c>
      <c r="AW742">
        <v>5</v>
      </c>
      <c r="AX742" t="s">
        <v>74</v>
      </c>
      <c r="AY742" t="s">
        <v>74</v>
      </c>
      <c r="AZ742" t="s">
        <v>74</v>
      </c>
      <c r="BA742" t="s">
        <v>74</v>
      </c>
      <c r="BB742">
        <v>483</v>
      </c>
      <c r="BC742">
        <v>489</v>
      </c>
      <c r="BD742" t="s">
        <v>74</v>
      </c>
      <c r="BE742" t="s">
        <v>10653</v>
      </c>
      <c r="BF742" t="str">
        <f>HYPERLINK("http://dx.doi.org/10.1016/j.biocon.2003.08.007","http://dx.doi.org/10.1016/j.biocon.2003.08.007")</f>
        <v>http://dx.doi.org/10.1016/j.biocon.2003.08.007</v>
      </c>
      <c r="BG742" t="s">
        <v>74</v>
      </c>
      <c r="BH742" t="s">
        <v>74</v>
      </c>
      <c r="BI742">
        <v>7</v>
      </c>
      <c r="BJ742" t="s">
        <v>1336</v>
      </c>
      <c r="BK742" t="s">
        <v>139</v>
      </c>
      <c r="BL742" t="s">
        <v>1337</v>
      </c>
      <c r="BM742" t="s">
        <v>10654</v>
      </c>
      <c r="BN742" t="s">
        <v>74</v>
      </c>
      <c r="BO742" t="s">
        <v>74</v>
      </c>
      <c r="BP742" t="s">
        <v>74</v>
      </c>
      <c r="BQ742" t="s">
        <v>74</v>
      </c>
      <c r="BR742" t="s">
        <v>98</v>
      </c>
      <c r="BS742" t="s">
        <v>10655</v>
      </c>
      <c r="BT742" t="str">
        <f>HYPERLINK("https%3A%2F%2Fwww.webofscience.com%2Fwos%2Fwoscc%2Ffull-record%2FWOS:000221018800003","View Full Record in Web of Science")</f>
        <v>View Full Record in Web of Science</v>
      </c>
    </row>
    <row r="743" spans="1:72" x14ac:dyDescent="0.15">
      <c r="A743" t="s">
        <v>122</v>
      </c>
      <c r="B743" t="s">
        <v>10656</v>
      </c>
      <c r="C743" t="s">
        <v>74</v>
      </c>
      <c r="D743" t="s">
        <v>74</v>
      </c>
      <c r="E743" t="s">
        <v>74</v>
      </c>
      <c r="F743" t="s">
        <v>10656</v>
      </c>
      <c r="G743" t="s">
        <v>74</v>
      </c>
      <c r="H743" t="s">
        <v>74</v>
      </c>
      <c r="I743" t="s">
        <v>10657</v>
      </c>
      <c r="J743" t="s">
        <v>10658</v>
      </c>
      <c r="K743" t="s">
        <v>74</v>
      </c>
      <c r="L743" t="s">
        <v>74</v>
      </c>
      <c r="M743" t="s">
        <v>79</v>
      </c>
      <c r="N743" t="s">
        <v>126</v>
      </c>
      <c r="O743" t="s">
        <v>74</v>
      </c>
      <c r="P743" t="s">
        <v>74</v>
      </c>
      <c r="Q743" t="s">
        <v>74</v>
      </c>
      <c r="R743" t="s">
        <v>74</v>
      </c>
      <c r="S743" t="s">
        <v>74</v>
      </c>
      <c r="T743" t="s">
        <v>74</v>
      </c>
      <c r="U743" t="s">
        <v>10659</v>
      </c>
      <c r="V743" t="s">
        <v>10660</v>
      </c>
      <c r="W743" t="s">
        <v>10661</v>
      </c>
      <c r="X743" t="s">
        <v>10662</v>
      </c>
      <c r="Y743" t="s">
        <v>10663</v>
      </c>
      <c r="Z743" t="s">
        <v>10664</v>
      </c>
      <c r="AA743" t="s">
        <v>10665</v>
      </c>
      <c r="AB743" t="s">
        <v>10666</v>
      </c>
      <c r="AC743" t="s">
        <v>74</v>
      </c>
      <c r="AD743" t="s">
        <v>74</v>
      </c>
      <c r="AE743" t="s">
        <v>74</v>
      </c>
      <c r="AF743" t="s">
        <v>74</v>
      </c>
      <c r="AG743">
        <v>93</v>
      </c>
      <c r="AH743">
        <v>75</v>
      </c>
      <c r="AI743">
        <v>87</v>
      </c>
      <c r="AJ743">
        <v>2</v>
      </c>
      <c r="AK743">
        <v>26</v>
      </c>
      <c r="AL743" t="s">
        <v>1571</v>
      </c>
      <c r="AM743" t="s">
        <v>1572</v>
      </c>
      <c r="AN743" t="s">
        <v>1573</v>
      </c>
      <c r="AO743" t="s">
        <v>10667</v>
      </c>
      <c r="AP743" t="s">
        <v>10668</v>
      </c>
      <c r="AQ743" t="s">
        <v>74</v>
      </c>
      <c r="AR743" t="s">
        <v>10669</v>
      </c>
      <c r="AS743" t="s">
        <v>10670</v>
      </c>
      <c r="AT743" t="s">
        <v>10473</v>
      </c>
      <c r="AU743">
        <v>2004</v>
      </c>
      <c r="AV743">
        <v>85</v>
      </c>
      <c r="AW743">
        <v>6</v>
      </c>
      <c r="AX743" t="s">
        <v>74</v>
      </c>
      <c r="AY743" t="s">
        <v>74</v>
      </c>
      <c r="AZ743" t="s">
        <v>74</v>
      </c>
      <c r="BA743" t="s">
        <v>74</v>
      </c>
      <c r="BB743" t="s">
        <v>10671</v>
      </c>
      <c r="BC743" t="s">
        <v>10672</v>
      </c>
      <c r="BD743" t="s">
        <v>74</v>
      </c>
      <c r="BE743" t="s">
        <v>10673</v>
      </c>
      <c r="BF743" t="str">
        <f>HYPERLINK("http://dx.doi.org/10.1175/BAMS-85-6-Levinson","http://dx.doi.org/10.1175/BAMS-85-6-Levinson")</f>
        <v>http://dx.doi.org/10.1175/BAMS-85-6-Levinson</v>
      </c>
      <c r="BG743" t="s">
        <v>74</v>
      </c>
      <c r="BH743" t="s">
        <v>74</v>
      </c>
      <c r="BI743">
        <v>72</v>
      </c>
      <c r="BJ743" t="s">
        <v>291</v>
      </c>
      <c r="BK743" t="s">
        <v>139</v>
      </c>
      <c r="BL743" t="s">
        <v>291</v>
      </c>
      <c r="BM743" t="s">
        <v>10674</v>
      </c>
      <c r="BN743" t="s">
        <v>74</v>
      </c>
      <c r="BO743" t="s">
        <v>74</v>
      </c>
      <c r="BP743" t="s">
        <v>74</v>
      </c>
      <c r="BQ743" t="s">
        <v>74</v>
      </c>
      <c r="BR743" t="s">
        <v>98</v>
      </c>
      <c r="BS743" t="s">
        <v>10675</v>
      </c>
      <c r="BT743" t="str">
        <f>HYPERLINK("https%3A%2F%2Fwww.webofscience.com%2Fwos%2Fwoscc%2Ffull-record%2FWOS:000222416000017","View Full Record in Web of Science")</f>
        <v>View Full Record in Web of Science</v>
      </c>
    </row>
    <row r="744" spans="1:72" x14ac:dyDescent="0.15">
      <c r="A744" t="s">
        <v>122</v>
      </c>
      <c r="B744" t="s">
        <v>10676</v>
      </c>
      <c r="C744" t="s">
        <v>74</v>
      </c>
      <c r="D744" t="s">
        <v>74</v>
      </c>
      <c r="E744" t="s">
        <v>74</v>
      </c>
      <c r="F744" t="s">
        <v>10676</v>
      </c>
      <c r="G744" t="s">
        <v>74</v>
      </c>
      <c r="H744" t="s">
        <v>74</v>
      </c>
      <c r="I744" t="s">
        <v>10677</v>
      </c>
      <c r="J744" t="s">
        <v>10678</v>
      </c>
      <c r="K744" t="s">
        <v>74</v>
      </c>
      <c r="L744" t="s">
        <v>74</v>
      </c>
      <c r="M744" t="s">
        <v>79</v>
      </c>
      <c r="N744" t="s">
        <v>126</v>
      </c>
      <c r="O744" t="s">
        <v>74</v>
      </c>
      <c r="P744" t="s">
        <v>74</v>
      </c>
      <c r="Q744" t="s">
        <v>74</v>
      </c>
      <c r="R744" t="s">
        <v>74</v>
      </c>
      <c r="S744" t="s">
        <v>74</v>
      </c>
      <c r="T744" t="s">
        <v>10679</v>
      </c>
      <c r="U744" t="s">
        <v>10680</v>
      </c>
      <c r="V744" t="s">
        <v>10681</v>
      </c>
      <c r="W744" t="s">
        <v>10682</v>
      </c>
      <c r="X744" t="s">
        <v>10683</v>
      </c>
      <c r="Y744" t="s">
        <v>10684</v>
      </c>
      <c r="Z744" t="s">
        <v>10685</v>
      </c>
      <c r="AA744" t="s">
        <v>10686</v>
      </c>
      <c r="AB744" t="s">
        <v>10687</v>
      </c>
      <c r="AC744" t="s">
        <v>74</v>
      </c>
      <c r="AD744" t="s">
        <v>74</v>
      </c>
      <c r="AE744" t="s">
        <v>74</v>
      </c>
      <c r="AF744" t="s">
        <v>74</v>
      </c>
      <c r="AG744">
        <v>43</v>
      </c>
      <c r="AH744">
        <v>3</v>
      </c>
      <c r="AI744">
        <v>3</v>
      </c>
      <c r="AJ744">
        <v>0</v>
      </c>
      <c r="AK744">
        <v>12</v>
      </c>
      <c r="AL744" t="s">
        <v>8522</v>
      </c>
      <c r="AM744" t="s">
        <v>5719</v>
      </c>
      <c r="AN744" t="s">
        <v>8523</v>
      </c>
      <c r="AO744" t="s">
        <v>10688</v>
      </c>
      <c r="AP744" t="s">
        <v>10689</v>
      </c>
      <c r="AQ744" t="s">
        <v>74</v>
      </c>
      <c r="AR744" t="s">
        <v>10690</v>
      </c>
      <c r="AS744" t="s">
        <v>10691</v>
      </c>
      <c r="AT744" t="s">
        <v>10473</v>
      </c>
      <c r="AU744">
        <v>2004</v>
      </c>
      <c r="AV744">
        <v>82</v>
      </c>
      <c r="AW744">
        <v>6</v>
      </c>
      <c r="AX744" t="s">
        <v>74</v>
      </c>
      <c r="AY744" t="s">
        <v>74</v>
      </c>
      <c r="AZ744" t="s">
        <v>74</v>
      </c>
      <c r="BA744" t="s">
        <v>74</v>
      </c>
      <c r="BB744">
        <v>998</v>
      </c>
      <c r="BC744">
        <v>1005</v>
      </c>
      <c r="BD744" t="s">
        <v>74</v>
      </c>
      <c r="BE744" t="s">
        <v>10692</v>
      </c>
      <c r="BF744" t="str">
        <f>HYPERLINK("http://dx.doi.org/10.1139/V04-016","http://dx.doi.org/10.1139/V04-016")</f>
        <v>http://dx.doi.org/10.1139/V04-016</v>
      </c>
      <c r="BG744" t="s">
        <v>74</v>
      </c>
      <c r="BH744" t="s">
        <v>74</v>
      </c>
      <c r="BI744">
        <v>8</v>
      </c>
      <c r="BJ744" t="s">
        <v>6965</v>
      </c>
      <c r="BK744" t="s">
        <v>139</v>
      </c>
      <c r="BL744" t="s">
        <v>1151</v>
      </c>
      <c r="BM744" t="s">
        <v>10693</v>
      </c>
      <c r="BN744" t="s">
        <v>74</v>
      </c>
      <c r="BO744" t="s">
        <v>74</v>
      </c>
      <c r="BP744" t="s">
        <v>74</v>
      </c>
      <c r="BQ744" t="s">
        <v>74</v>
      </c>
      <c r="BR744" t="s">
        <v>98</v>
      </c>
      <c r="BS744" t="s">
        <v>10694</v>
      </c>
      <c r="BT744" t="str">
        <f>HYPERLINK("https%3A%2F%2Fwww.webofscience.com%2Fwos%2Fwoscc%2Ffull-record%2FWOS:000224450700036","View Full Record in Web of Science")</f>
        <v>View Full Record in Web of Science</v>
      </c>
    </row>
    <row r="745" spans="1:72" x14ac:dyDescent="0.15">
      <c r="A745" t="s">
        <v>122</v>
      </c>
      <c r="B745" t="s">
        <v>10695</v>
      </c>
      <c r="C745" t="s">
        <v>74</v>
      </c>
      <c r="D745" t="s">
        <v>74</v>
      </c>
      <c r="E745" t="s">
        <v>74</v>
      </c>
      <c r="F745" t="s">
        <v>10695</v>
      </c>
      <c r="G745" t="s">
        <v>74</v>
      </c>
      <c r="H745" t="s">
        <v>74</v>
      </c>
      <c r="I745" t="s">
        <v>10696</v>
      </c>
      <c r="J745" t="s">
        <v>10697</v>
      </c>
      <c r="K745" t="s">
        <v>74</v>
      </c>
      <c r="L745" t="s">
        <v>74</v>
      </c>
      <c r="M745" t="s">
        <v>79</v>
      </c>
      <c r="N745" t="s">
        <v>126</v>
      </c>
      <c r="O745" t="s">
        <v>74</v>
      </c>
      <c r="P745" t="s">
        <v>74</v>
      </c>
      <c r="Q745" t="s">
        <v>74</v>
      </c>
      <c r="R745" t="s">
        <v>74</v>
      </c>
      <c r="S745" t="s">
        <v>74</v>
      </c>
      <c r="T745" t="s">
        <v>74</v>
      </c>
      <c r="U745" t="s">
        <v>10698</v>
      </c>
      <c r="V745" t="s">
        <v>10699</v>
      </c>
      <c r="W745" t="s">
        <v>10700</v>
      </c>
      <c r="X745" t="s">
        <v>10701</v>
      </c>
      <c r="Y745" t="s">
        <v>10702</v>
      </c>
      <c r="Z745" t="s">
        <v>10703</v>
      </c>
      <c r="AA745" t="s">
        <v>10704</v>
      </c>
      <c r="AB745" t="s">
        <v>74</v>
      </c>
      <c r="AC745" t="s">
        <v>74</v>
      </c>
      <c r="AD745" t="s">
        <v>74</v>
      </c>
      <c r="AE745" t="s">
        <v>74</v>
      </c>
      <c r="AF745" t="s">
        <v>74</v>
      </c>
      <c r="AG745">
        <v>25</v>
      </c>
      <c r="AH745">
        <v>27</v>
      </c>
      <c r="AI745">
        <v>33</v>
      </c>
      <c r="AJ745">
        <v>0</v>
      </c>
      <c r="AK745">
        <v>6</v>
      </c>
      <c r="AL745" t="s">
        <v>10705</v>
      </c>
      <c r="AM745" t="s">
        <v>5719</v>
      </c>
      <c r="AN745" t="s">
        <v>8523</v>
      </c>
      <c r="AO745" t="s">
        <v>10706</v>
      </c>
      <c r="AP745" t="s">
        <v>10707</v>
      </c>
      <c r="AQ745" t="s">
        <v>74</v>
      </c>
      <c r="AR745" t="s">
        <v>10708</v>
      </c>
      <c r="AS745" t="s">
        <v>10709</v>
      </c>
      <c r="AT745" t="s">
        <v>10473</v>
      </c>
      <c r="AU745">
        <v>2004</v>
      </c>
      <c r="AV745">
        <v>61</v>
      </c>
      <c r="AW745">
        <v>6</v>
      </c>
      <c r="AX745" t="s">
        <v>74</v>
      </c>
      <c r="AY745" t="s">
        <v>74</v>
      </c>
      <c r="AZ745" t="s">
        <v>74</v>
      </c>
      <c r="BA745" t="s">
        <v>74</v>
      </c>
      <c r="BB745">
        <v>1048</v>
      </c>
      <c r="BC745">
        <v>1059</v>
      </c>
      <c r="BD745" t="s">
        <v>74</v>
      </c>
      <c r="BE745" t="s">
        <v>10710</v>
      </c>
      <c r="BF745" t="str">
        <f>HYPERLINK("http://dx.doi.org/10.1139/F04-084","http://dx.doi.org/10.1139/F04-084")</f>
        <v>http://dx.doi.org/10.1139/F04-084</v>
      </c>
      <c r="BG745" t="s">
        <v>74</v>
      </c>
      <c r="BH745" t="s">
        <v>74</v>
      </c>
      <c r="BI745">
        <v>12</v>
      </c>
      <c r="BJ745" t="s">
        <v>6312</v>
      </c>
      <c r="BK745" t="s">
        <v>139</v>
      </c>
      <c r="BL745" t="s">
        <v>6312</v>
      </c>
      <c r="BM745" t="s">
        <v>10711</v>
      </c>
      <c r="BN745" t="s">
        <v>74</v>
      </c>
      <c r="BO745" t="s">
        <v>74</v>
      </c>
      <c r="BP745" t="s">
        <v>74</v>
      </c>
      <c r="BQ745" t="s">
        <v>74</v>
      </c>
      <c r="BR745" t="s">
        <v>98</v>
      </c>
      <c r="BS745" t="s">
        <v>10712</v>
      </c>
      <c r="BT745" t="str">
        <f>HYPERLINK("https%3A%2F%2Fwww.webofscience.com%2Fwos%2Fwoscc%2Ffull-record%2FWOS:000223096000016","View Full Record in Web of Science")</f>
        <v>View Full Record in Web of Science</v>
      </c>
    </row>
    <row r="746" spans="1:72" x14ac:dyDescent="0.15">
      <c r="A746" t="s">
        <v>122</v>
      </c>
      <c r="B746" t="s">
        <v>10713</v>
      </c>
      <c r="C746" t="s">
        <v>74</v>
      </c>
      <c r="D746" t="s">
        <v>74</v>
      </c>
      <c r="E746" t="s">
        <v>74</v>
      </c>
      <c r="F746" t="s">
        <v>10713</v>
      </c>
      <c r="G746" t="s">
        <v>74</v>
      </c>
      <c r="H746" t="s">
        <v>74</v>
      </c>
      <c r="I746" t="s">
        <v>10714</v>
      </c>
      <c r="J746" t="s">
        <v>10715</v>
      </c>
      <c r="K746" t="s">
        <v>74</v>
      </c>
      <c r="L746" t="s">
        <v>74</v>
      </c>
      <c r="M746" t="s">
        <v>79</v>
      </c>
      <c r="N746" t="s">
        <v>126</v>
      </c>
      <c r="O746" t="s">
        <v>74</v>
      </c>
      <c r="P746" t="s">
        <v>74</v>
      </c>
      <c r="Q746" t="s">
        <v>74</v>
      </c>
      <c r="R746" t="s">
        <v>74</v>
      </c>
      <c r="S746" t="s">
        <v>74</v>
      </c>
      <c r="T746" t="s">
        <v>74</v>
      </c>
      <c r="U746" t="s">
        <v>10716</v>
      </c>
      <c r="V746" t="s">
        <v>10717</v>
      </c>
      <c r="W746" t="s">
        <v>10718</v>
      </c>
      <c r="X746" t="s">
        <v>10719</v>
      </c>
      <c r="Y746" t="s">
        <v>10720</v>
      </c>
      <c r="Z746" t="s">
        <v>10721</v>
      </c>
      <c r="AA746" t="s">
        <v>74</v>
      </c>
      <c r="AB746" t="s">
        <v>10722</v>
      </c>
      <c r="AC746" t="s">
        <v>74</v>
      </c>
      <c r="AD746" t="s">
        <v>74</v>
      </c>
      <c r="AE746" t="s">
        <v>74</v>
      </c>
      <c r="AF746" t="s">
        <v>74</v>
      </c>
      <c r="AG746">
        <v>19</v>
      </c>
      <c r="AH746">
        <v>19</v>
      </c>
      <c r="AI746">
        <v>23</v>
      </c>
      <c r="AJ746">
        <v>0</v>
      </c>
      <c r="AK746">
        <v>9</v>
      </c>
      <c r="AL746" t="s">
        <v>10723</v>
      </c>
      <c r="AM746" t="s">
        <v>5719</v>
      </c>
      <c r="AN746" t="s">
        <v>10724</v>
      </c>
      <c r="AO746" t="s">
        <v>10725</v>
      </c>
      <c r="AP746" t="s">
        <v>74</v>
      </c>
      <c r="AQ746" t="s">
        <v>74</v>
      </c>
      <c r="AR746" t="s">
        <v>10726</v>
      </c>
      <c r="AS746" t="s">
        <v>10727</v>
      </c>
      <c r="AT746" t="s">
        <v>10473</v>
      </c>
      <c r="AU746">
        <v>2004</v>
      </c>
      <c r="AV746">
        <v>30</v>
      </c>
      <c r="AW746">
        <v>3</v>
      </c>
      <c r="AX746" t="s">
        <v>74</v>
      </c>
      <c r="AY746" t="s">
        <v>74</v>
      </c>
      <c r="AZ746" t="s">
        <v>74</v>
      </c>
      <c r="BA746" t="s">
        <v>74</v>
      </c>
      <c r="BB746">
        <v>504</v>
      </c>
      <c r="BC746">
        <v>509</v>
      </c>
      <c r="BD746" t="s">
        <v>74</v>
      </c>
      <c r="BE746" t="s">
        <v>10728</v>
      </c>
      <c r="BF746" t="str">
        <f>HYPERLINK("http://dx.doi.org/10.5589/m03-071","http://dx.doi.org/10.5589/m03-071")</f>
        <v>http://dx.doi.org/10.5589/m03-071</v>
      </c>
      <c r="BG746" t="s">
        <v>74</v>
      </c>
      <c r="BH746" t="s">
        <v>74</v>
      </c>
      <c r="BI746">
        <v>6</v>
      </c>
      <c r="BJ746" t="s">
        <v>10729</v>
      </c>
      <c r="BK746" t="s">
        <v>139</v>
      </c>
      <c r="BL746" t="s">
        <v>10729</v>
      </c>
      <c r="BM746" t="s">
        <v>10730</v>
      </c>
      <c r="BN746" t="s">
        <v>74</v>
      </c>
      <c r="BO746" t="s">
        <v>74</v>
      </c>
      <c r="BP746" t="s">
        <v>74</v>
      </c>
      <c r="BQ746" t="s">
        <v>74</v>
      </c>
      <c r="BR746" t="s">
        <v>98</v>
      </c>
      <c r="BS746" t="s">
        <v>10731</v>
      </c>
      <c r="BT746" t="str">
        <f>HYPERLINK("https%3A%2F%2Fwww.webofscience.com%2Fwos%2Fwoscc%2Ffull-record%2FWOS:000223256100027","View Full Record in Web of Science")</f>
        <v>View Full Record in Web of Science</v>
      </c>
    </row>
    <row r="747" spans="1:72" x14ac:dyDescent="0.15">
      <c r="A747" t="s">
        <v>122</v>
      </c>
      <c r="B747" t="s">
        <v>10732</v>
      </c>
      <c r="C747" t="s">
        <v>74</v>
      </c>
      <c r="D747" t="s">
        <v>74</v>
      </c>
      <c r="E747" t="s">
        <v>74</v>
      </c>
      <c r="F747" t="s">
        <v>10732</v>
      </c>
      <c r="G747" t="s">
        <v>74</v>
      </c>
      <c r="H747" t="s">
        <v>74</v>
      </c>
      <c r="I747" t="s">
        <v>10733</v>
      </c>
      <c r="J747" t="s">
        <v>10734</v>
      </c>
      <c r="K747" t="s">
        <v>74</v>
      </c>
      <c r="L747" t="s">
        <v>74</v>
      </c>
      <c r="M747" t="s">
        <v>79</v>
      </c>
      <c r="N747" t="s">
        <v>126</v>
      </c>
      <c r="O747" t="s">
        <v>74</v>
      </c>
      <c r="P747" t="s">
        <v>74</v>
      </c>
      <c r="Q747" t="s">
        <v>74</v>
      </c>
      <c r="R747" t="s">
        <v>74</v>
      </c>
      <c r="S747" t="s">
        <v>74</v>
      </c>
      <c r="T747" t="s">
        <v>74</v>
      </c>
      <c r="U747" t="s">
        <v>10735</v>
      </c>
      <c r="V747" t="s">
        <v>10736</v>
      </c>
      <c r="W747" t="s">
        <v>10737</v>
      </c>
      <c r="X747" t="s">
        <v>10738</v>
      </c>
      <c r="Y747" t="s">
        <v>10739</v>
      </c>
      <c r="Z747" t="s">
        <v>10740</v>
      </c>
      <c r="AA747" t="s">
        <v>74</v>
      </c>
      <c r="AB747" t="s">
        <v>74</v>
      </c>
      <c r="AC747" t="s">
        <v>74</v>
      </c>
      <c r="AD747" t="s">
        <v>74</v>
      </c>
      <c r="AE747" t="s">
        <v>74</v>
      </c>
      <c r="AF747" t="s">
        <v>74</v>
      </c>
      <c r="AG747">
        <v>53</v>
      </c>
      <c r="AH747">
        <v>2</v>
      </c>
      <c r="AI747">
        <v>2</v>
      </c>
      <c r="AJ747">
        <v>0</v>
      </c>
      <c r="AK747">
        <v>4</v>
      </c>
      <c r="AL747" t="s">
        <v>1509</v>
      </c>
      <c r="AM747" t="s">
        <v>613</v>
      </c>
      <c r="AN747" t="s">
        <v>1821</v>
      </c>
      <c r="AO747" t="s">
        <v>10741</v>
      </c>
      <c r="AP747" t="s">
        <v>10742</v>
      </c>
      <c r="AQ747" t="s">
        <v>74</v>
      </c>
      <c r="AR747" t="s">
        <v>10743</v>
      </c>
      <c r="AS747" t="s">
        <v>10744</v>
      </c>
      <c r="AT747" t="s">
        <v>10473</v>
      </c>
      <c r="AU747">
        <v>2004</v>
      </c>
      <c r="AV747">
        <v>19</v>
      </c>
      <c r="AW747">
        <v>1</v>
      </c>
      <c r="AX747" t="s">
        <v>74</v>
      </c>
      <c r="AY747" t="s">
        <v>74</v>
      </c>
      <c r="AZ747" t="s">
        <v>74</v>
      </c>
      <c r="BA747" t="s">
        <v>74</v>
      </c>
      <c r="BB747">
        <v>1</v>
      </c>
      <c r="BC747">
        <v>16</v>
      </c>
      <c r="BD747" t="s">
        <v>74</v>
      </c>
      <c r="BE747" t="s">
        <v>10745</v>
      </c>
      <c r="BF747" t="str">
        <f>HYPERLINK("http://dx.doi.org/10.1007/BF03175192","http://dx.doi.org/10.1007/BF03175192")</f>
        <v>http://dx.doi.org/10.1007/BF03175192</v>
      </c>
      <c r="BG747" t="s">
        <v>74</v>
      </c>
      <c r="BH747" t="s">
        <v>74</v>
      </c>
      <c r="BI747">
        <v>16</v>
      </c>
      <c r="BJ747" t="s">
        <v>249</v>
      </c>
      <c r="BK747" t="s">
        <v>139</v>
      </c>
      <c r="BL747" t="s">
        <v>249</v>
      </c>
      <c r="BM747" t="s">
        <v>10746</v>
      </c>
      <c r="BN747" t="s">
        <v>74</v>
      </c>
      <c r="BO747" t="s">
        <v>74</v>
      </c>
      <c r="BP747" t="s">
        <v>74</v>
      </c>
      <c r="BQ747" t="s">
        <v>74</v>
      </c>
      <c r="BR747" t="s">
        <v>98</v>
      </c>
      <c r="BS747" t="s">
        <v>10747</v>
      </c>
      <c r="BT747" t="str">
        <f>HYPERLINK("https%3A%2F%2Fwww.webofscience.com%2Fwos%2Fwoscc%2Ffull-record%2FWOS:000221904400001","View Full Record in Web of Science")</f>
        <v>View Full Record in Web of Science</v>
      </c>
    </row>
    <row r="748" spans="1:72" x14ac:dyDescent="0.15">
      <c r="A748" t="s">
        <v>122</v>
      </c>
      <c r="B748" t="s">
        <v>10748</v>
      </c>
      <c r="C748" t="s">
        <v>74</v>
      </c>
      <c r="D748" t="s">
        <v>74</v>
      </c>
      <c r="E748" t="s">
        <v>74</v>
      </c>
      <c r="F748" t="s">
        <v>10748</v>
      </c>
      <c r="G748" t="s">
        <v>74</v>
      </c>
      <c r="H748" t="s">
        <v>74</v>
      </c>
      <c r="I748" t="s">
        <v>10749</v>
      </c>
      <c r="J748" t="s">
        <v>5771</v>
      </c>
      <c r="K748" t="s">
        <v>74</v>
      </c>
      <c r="L748" t="s">
        <v>74</v>
      </c>
      <c r="M748" t="s">
        <v>79</v>
      </c>
      <c r="N748" t="s">
        <v>126</v>
      </c>
      <c r="O748" t="s">
        <v>74</v>
      </c>
      <c r="P748" t="s">
        <v>74</v>
      </c>
      <c r="Q748" t="s">
        <v>74</v>
      </c>
      <c r="R748" t="s">
        <v>74</v>
      </c>
      <c r="S748" t="s">
        <v>74</v>
      </c>
      <c r="T748" t="s">
        <v>74</v>
      </c>
      <c r="U748" t="s">
        <v>10750</v>
      </c>
      <c r="V748" t="s">
        <v>10751</v>
      </c>
      <c r="W748" t="s">
        <v>10752</v>
      </c>
      <c r="X748" t="s">
        <v>10753</v>
      </c>
      <c r="Y748" t="s">
        <v>10754</v>
      </c>
      <c r="Z748" t="s">
        <v>10755</v>
      </c>
      <c r="AA748" t="s">
        <v>74</v>
      </c>
      <c r="AB748" t="s">
        <v>74</v>
      </c>
      <c r="AC748" t="s">
        <v>74</v>
      </c>
      <c r="AD748" t="s">
        <v>74</v>
      </c>
      <c r="AE748" t="s">
        <v>74</v>
      </c>
      <c r="AF748" t="s">
        <v>74</v>
      </c>
      <c r="AG748">
        <v>12</v>
      </c>
      <c r="AH748">
        <v>10</v>
      </c>
      <c r="AI748">
        <v>14</v>
      </c>
      <c r="AJ748">
        <v>0</v>
      </c>
      <c r="AK748">
        <v>1</v>
      </c>
      <c r="AL748" t="s">
        <v>1509</v>
      </c>
      <c r="AM748" t="s">
        <v>613</v>
      </c>
      <c r="AN748" t="s">
        <v>1948</v>
      </c>
      <c r="AO748" t="s">
        <v>5779</v>
      </c>
      <c r="AP748" t="s">
        <v>5780</v>
      </c>
      <c r="AQ748" t="s">
        <v>74</v>
      </c>
      <c r="AR748" t="s">
        <v>5781</v>
      </c>
      <c r="AS748" t="s">
        <v>5782</v>
      </c>
      <c r="AT748" t="s">
        <v>10473</v>
      </c>
      <c r="AU748">
        <v>2004</v>
      </c>
      <c r="AV748">
        <v>22</v>
      </c>
      <c r="AW748" t="s">
        <v>10466</v>
      </c>
      <c r="AX748" t="s">
        <v>74</v>
      </c>
      <c r="AY748" t="s">
        <v>74</v>
      </c>
      <c r="AZ748" t="s">
        <v>74</v>
      </c>
      <c r="BA748" t="s">
        <v>74</v>
      </c>
      <c r="BB748">
        <v>591</v>
      </c>
      <c r="BC748">
        <v>595</v>
      </c>
      <c r="BD748" t="s">
        <v>74</v>
      </c>
      <c r="BE748" t="s">
        <v>10756</v>
      </c>
      <c r="BF748" t="str">
        <f>HYPERLINK("http://dx.doi.org/10.1007/s00382-004-0401-5","http://dx.doi.org/10.1007/s00382-004-0401-5")</f>
        <v>http://dx.doi.org/10.1007/s00382-004-0401-5</v>
      </c>
      <c r="BG748" t="s">
        <v>74</v>
      </c>
      <c r="BH748" t="s">
        <v>74</v>
      </c>
      <c r="BI748">
        <v>5</v>
      </c>
      <c r="BJ748" t="s">
        <v>291</v>
      </c>
      <c r="BK748" t="s">
        <v>139</v>
      </c>
      <c r="BL748" t="s">
        <v>291</v>
      </c>
      <c r="BM748" t="s">
        <v>10757</v>
      </c>
      <c r="BN748" t="s">
        <v>74</v>
      </c>
      <c r="BO748" t="s">
        <v>74</v>
      </c>
      <c r="BP748" t="s">
        <v>74</v>
      </c>
      <c r="BQ748" t="s">
        <v>74</v>
      </c>
      <c r="BR748" t="s">
        <v>98</v>
      </c>
      <c r="BS748" t="s">
        <v>10758</v>
      </c>
      <c r="BT748" t="str">
        <f>HYPERLINK("https%3A%2F%2Fwww.webofscience.com%2Fwos%2Fwoscc%2Ffull-record%2FWOS:000222525200003","View Full Record in Web of Science")</f>
        <v>View Full Record in Web of Science</v>
      </c>
    </row>
    <row r="749" spans="1:72" x14ac:dyDescent="0.15">
      <c r="A749" t="s">
        <v>122</v>
      </c>
      <c r="B749" t="s">
        <v>10759</v>
      </c>
      <c r="C749" t="s">
        <v>74</v>
      </c>
      <c r="D749" t="s">
        <v>74</v>
      </c>
      <c r="E749" t="s">
        <v>74</v>
      </c>
      <c r="F749" t="s">
        <v>10759</v>
      </c>
      <c r="G749" t="s">
        <v>74</v>
      </c>
      <c r="H749" t="s">
        <v>74</v>
      </c>
      <c r="I749" t="s">
        <v>10760</v>
      </c>
      <c r="J749" t="s">
        <v>8693</v>
      </c>
      <c r="K749" t="s">
        <v>74</v>
      </c>
      <c r="L749" t="s">
        <v>74</v>
      </c>
      <c r="M749" t="s">
        <v>8694</v>
      </c>
      <c r="N749" t="s">
        <v>126</v>
      </c>
      <c r="O749" t="s">
        <v>74</v>
      </c>
      <c r="P749" t="s">
        <v>74</v>
      </c>
      <c r="Q749" t="s">
        <v>74</v>
      </c>
      <c r="R749" t="s">
        <v>74</v>
      </c>
      <c r="S749" t="s">
        <v>74</v>
      </c>
      <c r="T749" t="s">
        <v>10761</v>
      </c>
      <c r="U749" t="s">
        <v>10762</v>
      </c>
      <c r="V749" t="s">
        <v>10763</v>
      </c>
      <c r="W749" t="s">
        <v>10764</v>
      </c>
      <c r="X749" t="s">
        <v>10765</v>
      </c>
      <c r="Y749" t="s">
        <v>10766</v>
      </c>
      <c r="Z749" t="s">
        <v>10767</v>
      </c>
      <c r="AA749" t="s">
        <v>10768</v>
      </c>
      <c r="AB749" t="s">
        <v>10769</v>
      </c>
      <c r="AC749" t="s">
        <v>74</v>
      </c>
      <c r="AD749" t="s">
        <v>74</v>
      </c>
      <c r="AE749" t="s">
        <v>74</v>
      </c>
      <c r="AF749" t="s">
        <v>74</v>
      </c>
      <c r="AG749">
        <v>73</v>
      </c>
      <c r="AH749">
        <v>6</v>
      </c>
      <c r="AI749">
        <v>6</v>
      </c>
      <c r="AJ749">
        <v>0</v>
      </c>
      <c r="AK749">
        <v>6</v>
      </c>
      <c r="AL749" t="s">
        <v>8704</v>
      </c>
      <c r="AM749" t="s">
        <v>4509</v>
      </c>
      <c r="AN749" t="s">
        <v>10770</v>
      </c>
      <c r="AO749" t="s">
        <v>8707</v>
      </c>
      <c r="AP749" t="s">
        <v>8708</v>
      </c>
      <c r="AQ749" t="s">
        <v>74</v>
      </c>
      <c r="AR749" t="s">
        <v>8709</v>
      </c>
      <c r="AS749" t="s">
        <v>8710</v>
      </c>
      <c r="AT749" t="s">
        <v>10473</v>
      </c>
      <c r="AU749">
        <v>2004</v>
      </c>
      <c r="AV749">
        <v>336</v>
      </c>
      <c r="AW749" t="s">
        <v>8848</v>
      </c>
      <c r="AX749" t="s">
        <v>74</v>
      </c>
      <c r="AY749" t="s">
        <v>74</v>
      </c>
      <c r="AZ749" t="s">
        <v>74</v>
      </c>
      <c r="BA749" t="s">
        <v>74</v>
      </c>
      <c r="BB749">
        <v>721</v>
      </c>
      <c r="BC749">
        <v>732</v>
      </c>
      <c r="BD749" t="s">
        <v>74</v>
      </c>
      <c r="BE749" t="s">
        <v>10771</v>
      </c>
      <c r="BF749" t="str">
        <f>HYPERLINK("http://dx.doi.org/10.1016/j.crte.2003.12.016","http://dx.doi.org/10.1016/j.crte.2003.12.016")</f>
        <v>http://dx.doi.org/10.1016/j.crte.2003.12.016</v>
      </c>
      <c r="BG749" t="s">
        <v>74</v>
      </c>
      <c r="BH749" t="s">
        <v>74</v>
      </c>
      <c r="BI749">
        <v>12</v>
      </c>
      <c r="BJ749" t="s">
        <v>248</v>
      </c>
      <c r="BK749" t="s">
        <v>139</v>
      </c>
      <c r="BL749" t="s">
        <v>249</v>
      </c>
      <c r="BM749" t="s">
        <v>10772</v>
      </c>
      <c r="BN749" t="s">
        <v>74</v>
      </c>
      <c r="BO749" t="s">
        <v>988</v>
      </c>
      <c r="BP749" t="s">
        <v>74</v>
      </c>
      <c r="BQ749" t="s">
        <v>74</v>
      </c>
      <c r="BR749" t="s">
        <v>98</v>
      </c>
      <c r="BS749" t="s">
        <v>10773</v>
      </c>
      <c r="BT749" t="str">
        <f>HYPERLINK("https%3A%2F%2Fwww.webofscience.com%2Fwos%2Fwoscc%2Ffull-record%2FWOS:000222148900011","View Full Record in Web of Science")</f>
        <v>View Full Record in Web of Science</v>
      </c>
    </row>
    <row r="750" spans="1:72" x14ac:dyDescent="0.15">
      <c r="A750" t="s">
        <v>122</v>
      </c>
      <c r="B750" t="s">
        <v>10774</v>
      </c>
      <c r="C750" t="s">
        <v>74</v>
      </c>
      <c r="D750" t="s">
        <v>74</v>
      </c>
      <c r="E750" t="s">
        <v>74</v>
      </c>
      <c r="F750" t="s">
        <v>10774</v>
      </c>
      <c r="G750" t="s">
        <v>74</v>
      </c>
      <c r="H750" t="s">
        <v>74</v>
      </c>
      <c r="I750" t="s">
        <v>10775</v>
      </c>
      <c r="J750" t="s">
        <v>10776</v>
      </c>
      <c r="K750" t="s">
        <v>74</v>
      </c>
      <c r="L750" t="s">
        <v>74</v>
      </c>
      <c r="M750" t="s">
        <v>79</v>
      </c>
      <c r="N750" t="s">
        <v>126</v>
      </c>
      <c r="O750" t="s">
        <v>74</v>
      </c>
      <c r="P750" t="s">
        <v>74</v>
      </c>
      <c r="Q750" t="s">
        <v>74</v>
      </c>
      <c r="R750" t="s">
        <v>74</v>
      </c>
      <c r="S750" t="s">
        <v>74</v>
      </c>
      <c r="T750" t="s">
        <v>10777</v>
      </c>
      <c r="U750" t="s">
        <v>10778</v>
      </c>
      <c r="V750" t="s">
        <v>10779</v>
      </c>
      <c r="W750" t="s">
        <v>10780</v>
      </c>
      <c r="X750" t="s">
        <v>10781</v>
      </c>
      <c r="Y750" t="s">
        <v>10782</v>
      </c>
      <c r="Z750" t="s">
        <v>10783</v>
      </c>
      <c r="AA750" t="s">
        <v>10784</v>
      </c>
      <c r="AB750" t="s">
        <v>10785</v>
      </c>
      <c r="AC750" t="s">
        <v>74</v>
      </c>
      <c r="AD750" t="s">
        <v>74</v>
      </c>
      <c r="AE750" t="s">
        <v>74</v>
      </c>
      <c r="AF750" t="s">
        <v>74</v>
      </c>
      <c r="AG750">
        <v>37</v>
      </c>
      <c r="AH750">
        <v>81</v>
      </c>
      <c r="AI750">
        <v>85</v>
      </c>
      <c r="AJ750">
        <v>0</v>
      </c>
      <c r="AK750">
        <v>17</v>
      </c>
      <c r="AL750" t="s">
        <v>884</v>
      </c>
      <c r="AM750" t="s">
        <v>375</v>
      </c>
      <c r="AN750" t="s">
        <v>885</v>
      </c>
      <c r="AO750" t="s">
        <v>10786</v>
      </c>
      <c r="AP750" t="s">
        <v>10787</v>
      </c>
      <c r="AQ750" t="s">
        <v>74</v>
      </c>
      <c r="AR750" t="s">
        <v>10788</v>
      </c>
      <c r="AS750" t="s">
        <v>10789</v>
      </c>
      <c r="AT750" t="s">
        <v>10473</v>
      </c>
      <c r="AU750">
        <v>2004</v>
      </c>
      <c r="AV750">
        <v>25</v>
      </c>
      <c r="AW750">
        <v>3</v>
      </c>
      <c r="AX750" t="s">
        <v>74</v>
      </c>
      <c r="AY750" t="s">
        <v>74</v>
      </c>
      <c r="AZ750" t="s">
        <v>74</v>
      </c>
      <c r="BA750" t="s">
        <v>74</v>
      </c>
      <c r="BB750">
        <v>303</v>
      </c>
      <c r="BC750">
        <v>311</v>
      </c>
      <c r="BD750" t="s">
        <v>74</v>
      </c>
      <c r="BE750" t="s">
        <v>10790</v>
      </c>
      <c r="BF750" t="str">
        <f>HYPERLINK("http://dx.doi.org/10.1016/j.cretres.2004.01.005","http://dx.doi.org/10.1016/j.cretres.2004.01.005")</f>
        <v>http://dx.doi.org/10.1016/j.cretres.2004.01.005</v>
      </c>
      <c r="BG750" t="s">
        <v>74</v>
      </c>
      <c r="BH750" t="s">
        <v>74</v>
      </c>
      <c r="BI750">
        <v>9</v>
      </c>
      <c r="BJ750" t="s">
        <v>10791</v>
      </c>
      <c r="BK750" t="s">
        <v>139</v>
      </c>
      <c r="BL750" t="s">
        <v>10791</v>
      </c>
      <c r="BM750" t="s">
        <v>10792</v>
      </c>
      <c r="BN750" t="s">
        <v>74</v>
      </c>
      <c r="BO750" t="s">
        <v>329</v>
      </c>
      <c r="BP750" t="s">
        <v>74</v>
      </c>
      <c r="BQ750" t="s">
        <v>74</v>
      </c>
      <c r="BR750" t="s">
        <v>98</v>
      </c>
      <c r="BS750" t="s">
        <v>10793</v>
      </c>
      <c r="BT750" t="str">
        <f>HYPERLINK("https%3A%2F%2Fwww.webofscience.com%2Fwos%2Fwoscc%2Ffull-record%2FWOS:000221905000001","View Full Record in Web of Science")</f>
        <v>View Full Record in Web of Science</v>
      </c>
    </row>
    <row r="751" spans="1:72" x14ac:dyDescent="0.15">
      <c r="A751" t="s">
        <v>122</v>
      </c>
      <c r="B751" t="s">
        <v>10794</v>
      </c>
      <c r="C751" t="s">
        <v>74</v>
      </c>
      <c r="D751" t="s">
        <v>74</v>
      </c>
      <c r="E751" t="s">
        <v>74</v>
      </c>
      <c r="F751" t="s">
        <v>10794</v>
      </c>
      <c r="G751" t="s">
        <v>74</v>
      </c>
      <c r="H751" t="s">
        <v>74</v>
      </c>
      <c r="I751" t="s">
        <v>10795</v>
      </c>
      <c r="J751" t="s">
        <v>10776</v>
      </c>
      <c r="K751" t="s">
        <v>74</v>
      </c>
      <c r="L751" t="s">
        <v>74</v>
      </c>
      <c r="M751" t="s">
        <v>79</v>
      </c>
      <c r="N751" t="s">
        <v>126</v>
      </c>
      <c r="O751" t="s">
        <v>74</v>
      </c>
      <c r="P751" t="s">
        <v>74</v>
      </c>
      <c r="Q751" t="s">
        <v>74</v>
      </c>
      <c r="R751" t="s">
        <v>74</v>
      </c>
      <c r="S751" t="s">
        <v>74</v>
      </c>
      <c r="T751" t="s">
        <v>10796</v>
      </c>
      <c r="U751" t="s">
        <v>10797</v>
      </c>
      <c r="V751" t="s">
        <v>10798</v>
      </c>
      <c r="W751" t="s">
        <v>10799</v>
      </c>
      <c r="X751" t="s">
        <v>10800</v>
      </c>
      <c r="Y751" t="s">
        <v>10801</v>
      </c>
      <c r="Z751" t="s">
        <v>10802</v>
      </c>
      <c r="AA751" t="s">
        <v>10803</v>
      </c>
      <c r="AB751" t="s">
        <v>10804</v>
      </c>
      <c r="AC751" t="s">
        <v>74</v>
      </c>
      <c r="AD751" t="s">
        <v>74</v>
      </c>
      <c r="AE751" t="s">
        <v>74</v>
      </c>
      <c r="AF751" t="s">
        <v>74</v>
      </c>
      <c r="AG751">
        <v>71</v>
      </c>
      <c r="AH751">
        <v>87</v>
      </c>
      <c r="AI751">
        <v>104</v>
      </c>
      <c r="AJ751">
        <v>1</v>
      </c>
      <c r="AK751">
        <v>9</v>
      </c>
      <c r="AL751" t="s">
        <v>10805</v>
      </c>
      <c r="AM751" t="s">
        <v>375</v>
      </c>
      <c r="AN751" t="s">
        <v>885</v>
      </c>
      <c r="AO751" t="s">
        <v>10786</v>
      </c>
      <c r="AP751" t="s">
        <v>74</v>
      </c>
      <c r="AQ751" t="s">
        <v>74</v>
      </c>
      <c r="AR751" t="s">
        <v>10788</v>
      </c>
      <c r="AS751" t="s">
        <v>10789</v>
      </c>
      <c r="AT751" t="s">
        <v>10473</v>
      </c>
      <c r="AU751">
        <v>2004</v>
      </c>
      <c r="AV751">
        <v>25</v>
      </c>
      <c r="AW751">
        <v>3</v>
      </c>
      <c r="AX751" t="s">
        <v>74</v>
      </c>
      <c r="AY751" t="s">
        <v>74</v>
      </c>
      <c r="AZ751" t="s">
        <v>74</v>
      </c>
      <c r="BA751" t="s">
        <v>74</v>
      </c>
      <c r="BB751">
        <v>411</v>
      </c>
      <c r="BC751">
        <v>423</v>
      </c>
      <c r="BD751" t="s">
        <v>74</v>
      </c>
      <c r="BE751" t="s">
        <v>10806</v>
      </c>
      <c r="BF751" t="str">
        <f>HYPERLINK("http://dx.doi.org/10.1016/j.cretres.2004.02.002","http://dx.doi.org/10.1016/j.cretres.2004.02.002")</f>
        <v>http://dx.doi.org/10.1016/j.cretres.2004.02.002</v>
      </c>
      <c r="BG751" t="s">
        <v>74</v>
      </c>
      <c r="BH751" t="s">
        <v>74</v>
      </c>
      <c r="BI751">
        <v>13</v>
      </c>
      <c r="BJ751" t="s">
        <v>10791</v>
      </c>
      <c r="BK751" t="s">
        <v>139</v>
      </c>
      <c r="BL751" t="s">
        <v>10791</v>
      </c>
      <c r="BM751" t="s">
        <v>10792</v>
      </c>
      <c r="BN751" t="s">
        <v>74</v>
      </c>
      <c r="BO751" t="s">
        <v>74</v>
      </c>
      <c r="BP751" t="s">
        <v>74</v>
      </c>
      <c r="BQ751" t="s">
        <v>74</v>
      </c>
      <c r="BR751" t="s">
        <v>98</v>
      </c>
      <c r="BS751" t="s">
        <v>10807</v>
      </c>
      <c r="BT751" t="str">
        <f>HYPERLINK("https%3A%2F%2Fwww.webofscience.com%2Fwos%2Fwoscc%2Ffull-record%2FWOS:000221905000007","View Full Record in Web of Science")</f>
        <v>View Full Record in Web of Science</v>
      </c>
    </row>
    <row r="752" spans="1:72" x14ac:dyDescent="0.15">
      <c r="A752" t="s">
        <v>122</v>
      </c>
      <c r="B752" t="s">
        <v>10808</v>
      </c>
      <c r="C752" t="s">
        <v>74</v>
      </c>
      <c r="D752" t="s">
        <v>74</v>
      </c>
      <c r="E752" t="s">
        <v>74</v>
      </c>
      <c r="F752" t="s">
        <v>10808</v>
      </c>
      <c r="G752" t="s">
        <v>74</v>
      </c>
      <c r="H752" t="s">
        <v>74</v>
      </c>
      <c r="I752" t="s">
        <v>10809</v>
      </c>
      <c r="J752" t="s">
        <v>1263</v>
      </c>
      <c r="K752" t="s">
        <v>74</v>
      </c>
      <c r="L752" t="s">
        <v>74</v>
      </c>
      <c r="M752" t="s">
        <v>79</v>
      </c>
      <c r="N752" t="s">
        <v>126</v>
      </c>
      <c r="O752" t="s">
        <v>74</v>
      </c>
      <c r="P752" t="s">
        <v>74</v>
      </c>
      <c r="Q752" t="s">
        <v>74</v>
      </c>
      <c r="R752" t="s">
        <v>74</v>
      </c>
      <c r="S752" t="s">
        <v>74</v>
      </c>
      <c r="T752" t="s">
        <v>10810</v>
      </c>
      <c r="U752" t="s">
        <v>10811</v>
      </c>
      <c r="V752" t="s">
        <v>10812</v>
      </c>
      <c r="W752" t="s">
        <v>10813</v>
      </c>
      <c r="X752" t="s">
        <v>10814</v>
      </c>
      <c r="Y752" t="s">
        <v>10815</v>
      </c>
      <c r="Z752" t="s">
        <v>10816</v>
      </c>
      <c r="AA752" t="s">
        <v>10817</v>
      </c>
      <c r="AB752" t="s">
        <v>74</v>
      </c>
      <c r="AC752" t="s">
        <v>74</v>
      </c>
      <c r="AD752" t="s">
        <v>74</v>
      </c>
      <c r="AE752" t="s">
        <v>74</v>
      </c>
      <c r="AF752" t="s">
        <v>74</v>
      </c>
      <c r="AG752">
        <v>47</v>
      </c>
      <c r="AH752">
        <v>71</v>
      </c>
      <c r="AI752">
        <v>76</v>
      </c>
      <c r="AJ752">
        <v>3</v>
      </c>
      <c r="AK752">
        <v>22</v>
      </c>
      <c r="AL752" t="s">
        <v>1273</v>
      </c>
      <c r="AM752" t="s">
        <v>197</v>
      </c>
      <c r="AN752" t="s">
        <v>1274</v>
      </c>
      <c r="AO752" t="s">
        <v>1275</v>
      </c>
      <c r="AP752" t="s">
        <v>1276</v>
      </c>
      <c r="AQ752" t="s">
        <v>74</v>
      </c>
      <c r="AR752" t="s">
        <v>1277</v>
      </c>
      <c r="AS752" t="s">
        <v>1278</v>
      </c>
      <c r="AT752" t="s">
        <v>10473</v>
      </c>
      <c r="AU752">
        <v>2004</v>
      </c>
      <c r="AV752">
        <v>51</v>
      </c>
      <c r="AW752">
        <v>6</v>
      </c>
      <c r="AX752" t="s">
        <v>74</v>
      </c>
      <c r="AY752" t="s">
        <v>74</v>
      </c>
      <c r="AZ752" t="s">
        <v>74</v>
      </c>
      <c r="BA752" t="s">
        <v>74</v>
      </c>
      <c r="BB752">
        <v>755</v>
      </c>
      <c r="BC752">
        <v>776</v>
      </c>
      <c r="BD752" t="s">
        <v>74</v>
      </c>
      <c r="BE752" t="s">
        <v>10818</v>
      </c>
      <c r="BF752" t="str">
        <f>HYPERLINK("http://dx.doi.org/10.1016/j.dsr.2004.01.008","http://dx.doi.org/10.1016/j.dsr.2004.01.008")</f>
        <v>http://dx.doi.org/10.1016/j.dsr.2004.01.008</v>
      </c>
      <c r="BG752" t="s">
        <v>74</v>
      </c>
      <c r="BH752" t="s">
        <v>74</v>
      </c>
      <c r="BI752">
        <v>22</v>
      </c>
      <c r="BJ752" t="s">
        <v>660</v>
      </c>
      <c r="BK752" t="s">
        <v>139</v>
      </c>
      <c r="BL752" t="s">
        <v>660</v>
      </c>
      <c r="BM752" t="s">
        <v>10819</v>
      </c>
      <c r="BN752" t="s">
        <v>74</v>
      </c>
      <c r="BO752" t="s">
        <v>74</v>
      </c>
      <c r="BP752" t="s">
        <v>74</v>
      </c>
      <c r="BQ752" t="s">
        <v>74</v>
      </c>
      <c r="BR752" t="s">
        <v>98</v>
      </c>
      <c r="BS752" t="s">
        <v>10820</v>
      </c>
      <c r="BT752" t="str">
        <f>HYPERLINK("https%3A%2F%2Fwww.webofscience.com%2Fwos%2Fwoscc%2Ffull-record%2FWOS:000222221100001","View Full Record in Web of Science")</f>
        <v>View Full Record in Web of Science</v>
      </c>
    </row>
    <row r="753" spans="1:72" x14ac:dyDescent="0.15">
      <c r="A753" t="s">
        <v>122</v>
      </c>
      <c r="B753" t="s">
        <v>10821</v>
      </c>
      <c r="C753" t="s">
        <v>74</v>
      </c>
      <c r="D753" t="s">
        <v>74</v>
      </c>
      <c r="E753" t="s">
        <v>74</v>
      </c>
      <c r="F753" t="s">
        <v>10821</v>
      </c>
      <c r="G753" t="s">
        <v>74</v>
      </c>
      <c r="H753" t="s">
        <v>74</v>
      </c>
      <c r="I753" t="s">
        <v>10822</v>
      </c>
      <c r="J753" t="s">
        <v>1263</v>
      </c>
      <c r="K753" t="s">
        <v>74</v>
      </c>
      <c r="L753" t="s">
        <v>74</v>
      </c>
      <c r="M753" t="s">
        <v>79</v>
      </c>
      <c r="N753" t="s">
        <v>126</v>
      </c>
      <c r="O753" t="s">
        <v>74</v>
      </c>
      <c r="P753" t="s">
        <v>74</v>
      </c>
      <c r="Q753" t="s">
        <v>74</v>
      </c>
      <c r="R753" t="s">
        <v>74</v>
      </c>
      <c r="S753" t="s">
        <v>74</v>
      </c>
      <c r="T753" t="s">
        <v>10823</v>
      </c>
      <c r="U753" t="s">
        <v>10824</v>
      </c>
      <c r="V753" t="s">
        <v>10825</v>
      </c>
      <c r="W753" t="s">
        <v>10826</v>
      </c>
      <c r="X753" t="s">
        <v>88</v>
      </c>
      <c r="Y753" t="s">
        <v>10827</v>
      </c>
      <c r="Z753" t="s">
        <v>10828</v>
      </c>
      <c r="AA753" t="s">
        <v>10829</v>
      </c>
      <c r="AB753" t="s">
        <v>74</v>
      </c>
      <c r="AC753" t="s">
        <v>74</v>
      </c>
      <c r="AD753" t="s">
        <v>74</v>
      </c>
      <c r="AE753" t="s">
        <v>74</v>
      </c>
      <c r="AF753" t="s">
        <v>74</v>
      </c>
      <c r="AG753">
        <v>79</v>
      </c>
      <c r="AH753">
        <v>25</v>
      </c>
      <c r="AI753">
        <v>28</v>
      </c>
      <c r="AJ753">
        <v>0</v>
      </c>
      <c r="AK753">
        <v>9</v>
      </c>
      <c r="AL753" t="s">
        <v>1273</v>
      </c>
      <c r="AM753" t="s">
        <v>197</v>
      </c>
      <c r="AN753" t="s">
        <v>1274</v>
      </c>
      <c r="AO753" t="s">
        <v>1275</v>
      </c>
      <c r="AP753" t="s">
        <v>74</v>
      </c>
      <c r="AQ753" t="s">
        <v>74</v>
      </c>
      <c r="AR753" t="s">
        <v>1277</v>
      </c>
      <c r="AS753" t="s">
        <v>1278</v>
      </c>
      <c r="AT753" t="s">
        <v>10473</v>
      </c>
      <c r="AU753">
        <v>2004</v>
      </c>
      <c r="AV753">
        <v>51</v>
      </c>
      <c r="AW753">
        <v>6</v>
      </c>
      <c r="AX753" t="s">
        <v>74</v>
      </c>
      <c r="AY753" t="s">
        <v>74</v>
      </c>
      <c r="AZ753" t="s">
        <v>74</v>
      </c>
      <c r="BA753" t="s">
        <v>74</v>
      </c>
      <c r="BB753">
        <v>809</v>
      </c>
      <c r="BC753">
        <v>832</v>
      </c>
      <c r="BD753" t="s">
        <v>74</v>
      </c>
      <c r="BE753" t="s">
        <v>10830</v>
      </c>
      <c r="BF753" t="str">
        <f>HYPERLINK("http://dx.doi.org/10.1016/j.dsr.2004.02.003","http://dx.doi.org/10.1016/j.dsr.2004.02.003")</f>
        <v>http://dx.doi.org/10.1016/j.dsr.2004.02.003</v>
      </c>
      <c r="BG753" t="s">
        <v>74</v>
      </c>
      <c r="BH753" t="s">
        <v>74</v>
      </c>
      <c r="BI753">
        <v>24</v>
      </c>
      <c r="BJ753" t="s">
        <v>660</v>
      </c>
      <c r="BK753" t="s">
        <v>139</v>
      </c>
      <c r="BL753" t="s">
        <v>660</v>
      </c>
      <c r="BM753" t="s">
        <v>10819</v>
      </c>
      <c r="BN753" t="s">
        <v>74</v>
      </c>
      <c r="BO753" t="s">
        <v>74</v>
      </c>
      <c r="BP753" t="s">
        <v>74</v>
      </c>
      <c r="BQ753" t="s">
        <v>74</v>
      </c>
      <c r="BR753" t="s">
        <v>98</v>
      </c>
      <c r="BS753" t="s">
        <v>10831</v>
      </c>
      <c r="BT753" t="str">
        <f>HYPERLINK("https%3A%2F%2Fwww.webofscience.com%2Fwos%2Fwoscc%2Ffull-record%2FWOS:000222221100004","View Full Record in Web of Science")</f>
        <v>View Full Record in Web of Science</v>
      </c>
    </row>
    <row r="754" spans="1:72" x14ac:dyDescent="0.15">
      <c r="A754" t="s">
        <v>122</v>
      </c>
      <c r="B754" t="s">
        <v>10832</v>
      </c>
      <c r="C754" t="s">
        <v>74</v>
      </c>
      <c r="D754" t="s">
        <v>74</v>
      </c>
      <c r="E754" t="s">
        <v>74</v>
      </c>
      <c r="F754" t="s">
        <v>10832</v>
      </c>
      <c r="G754" t="s">
        <v>74</v>
      </c>
      <c r="H754" t="s">
        <v>74</v>
      </c>
      <c r="I754" t="s">
        <v>10833</v>
      </c>
      <c r="J754" t="s">
        <v>10834</v>
      </c>
      <c r="K754" t="s">
        <v>74</v>
      </c>
      <c r="L754" t="s">
        <v>74</v>
      </c>
      <c r="M754" t="s">
        <v>79</v>
      </c>
      <c r="N754" t="s">
        <v>126</v>
      </c>
      <c r="O754" t="s">
        <v>74</v>
      </c>
      <c r="P754" t="s">
        <v>74</v>
      </c>
      <c r="Q754" t="s">
        <v>74</v>
      </c>
      <c r="R754" t="s">
        <v>74</v>
      </c>
      <c r="S754" t="s">
        <v>74</v>
      </c>
      <c r="T754" t="s">
        <v>10835</v>
      </c>
      <c r="U754" t="s">
        <v>10836</v>
      </c>
      <c r="V754" t="s">
        <v>10837</v>
      </c>
      <c r="W754" t="s">
        <v>10838</v>
      </c>
      <c r="X754" t="s">
        <v>10839</v>
      </c>
      <c r="Y754" t="s">
        <v>10840</v>
      </c>
      <c r="Z754" t="s">
        <v>10841</v>
      </c>
      <c r="AA754" t="s">
        <v>10842</v>
      </c>
      <c r="AB754" t="s">
        <v>10843</v>
      </c>
      <c r="AC754" t="s">
        <v>74</v>
      </c>
      <c r="AD754" t="s">
        <v>74</v>
      </c>
      <c r="AE754" t="s">
        <v>74</v>
      </c>
      <c r="AF754" t="s">
        <v>74</v>
      </c>
      <c r="AG754">
        <v>63</v>
      </c>
      <c r="AH754">
        <v>208</v>
      </c>
      <c r="AI754">
        <v>226</v>
      </c>
      <c r="AJ754">
        <v>0</v>
      </c>
      <c r="AK754">
        <v>51</v>
      </c>
      <c r="AL754" t="s">
        <v>562</v>
      </c>
      <c r="AM754" t="s">
        <v>532</v>
      </c>
      <c r="AN754" t="s">
        <v>563</v>
      </c>
      <c r="AO754" t="s">
        <v>10844</v>
      </c>
      <c r="AP754" t="s">
        <v>10845</v>
      </c>
      <c r="AQ754" t="s">
        <v>74</v>
      </c>
      <c r="AR754" t="s">
        <v>10846</v>
      </c>
      <c r="AS754" t="s">
        <v>10847</v>
      </c>
      <c r="AT754" t="s">
        <v>10473</v>
      </c>
      <c r="AU754">
        <v>2004</v>
      </c>
      <c r="AV754">
        <v>66</v>
      </c>
      <c r="AW754" t="s">
        <v>2537</v>
      </c>
      <c r="AX754" t="s">
        <v>74</v>
      </c>
      <c r="AY754" t="s">
        <v>74</v>
      </c>
      <c r="AZ754" t="s">
        <v>74</v>
      </c>
      <c r="BA754" t="s">
        <v>74</v>
      </c>
      <c r="BB754">
        <v>63</v>
      </c>
      <c r="BC754">
        <v>87</v>
      </c>
      <c r="BD754" t="s">
        <v>74</v>
      </c>
      <c r="BE754" t="s">
        <v>10848</v>
      </c>
      <c r="BF754" t="str">
        <f>HYPERLINK("http://dx.doi.org/10.1016/j.earscirev.2003.10.004","http://dx.doi.org/10.1016/j.earscirev.2003.10.004")</f>
        <v>http://dx.doi.org/10.1016/j.earscirev.2003.10.004</v>
      </c>
      <c r="BG754" t="s">
        <v>74</v>
      </c>
      <c r="BH754" t="s">
        <v>74</v>
      </c>
      <c r="BI754">
        <v>25</v>
      </c>
      <c r="BJ754" t="s">
        <v>248</v>
      </c>
      <c r="BK754" t="s">
        <v>139</v>
      </c>
      <c r="BL754" t="s">
        <v>249</v>
      </c>
      <c r="BM754" t="s">
        <v>10849</v>
      </c>
      <c r="BN754" t="s">
        <v>74</v>
      </c>
      <c r="BO754" t="s">
        <v>74</v>
      </c>
      <c r="BP754" t="s">
        <v>74</v>
      </c>
      <c r="BQ754" t="s">
        <v>74</v>
      </c>
      <c r="BR754" t="s">
        <v>98</v>
      </c>
      <c r="BS754" t="s">
        <v>10850</v>
      </c>
      <c r="BT754" t="str">
        <f>HYPERLINK("https%3A%2F%2Fwww.webofscience.com%2Fwos%2Fwoscc%2Ffull-record%2FWOS:000225696700002","View Full Record in Web of Science")</f>
        <v>View Full Record in Web of Science</v>
      </c>
    </row>
    <row r="755" spans="1:72" x14ac:dyDescent="0.15">
      <c r="A755" t="s">
        <v>122</v>
      </c>
      <c r="B755" t="s">
        <v>10851</v>
      </c>
      <c r="C755" t="s">
        <v>74</v>
      </c>
      <c r="D755" t="s">
        <v>74</v>
      </c>
      <c r="E755" t="s">
        <v>74</v>
      </c>
      <c r="F755" t="s">
        <v>10851</v>
      </c>
      <c r="G755" t="s">
        <v>74</v>
      </c>
      <c r="H755" t="s">
        <v>74</v>
      </c>
      <c r="I755" t="s">
        <v>10852</v>
      </c>
      <c r="J755" t="s">
        <v>10834</v>
      </c>
      <c r="K755" t="s">
        <v>74</v>
      </c>
      <c r="L755" t="s">
        <v>74</v>
      </c>
      <c r="M755" t="s">
        <v>79</v>
      </c>
      <c r="N755" t="s">
        <v>581</v>
      </c>
      <c r="O755" t="s">
        <v>74</v>
      </c>
      <c r="P755" t="s">
        <v>74</v>
      </c>
      <c r="Q755" t="s">
        <v>74</v>
      </c>
      <c r="R755" t="s">
        <v>74</v>
      </c>
      <c r="S755" t="s">
        <v>74</v>
      </c>
      <c r="T755" t="s">
        <v>10853</v>
      </c>
      <c r="U755" t="s">
        <v>10854</v>
      </c>
      <c r="V755" t="s">
        <v>10855</v>
      </c>
      <c r="W755" t="s">
        <v>10856</v>
      </c>
      <c r="X755" t="s">
        <v>10857</v>
      </c>
      <c r="Y755" t="s">
        <v>10858</v>
      </c>
      <c r="Z755" t="s">
        <v>10859</v>
      </c>
      <c r="AA755" t="s">
        <v>10860</v>
      </c>
      <c r="AB755" t="s">
        <v>10861</v>
      </c>
      <c r="AC755" t="s">
        <v>74</v>
      </c>
      <c r="AD755" t="s">
        <v>74</v>
      </c>
      <c r="AE755" t="s">
        <v>74</v>
      </c>
      <c r="AF755" t="s">
        <v>74</v>
      </c>
      <c r="AG755">
        <v>101</v>
      </c>
      <c r="AH755">
        <v>205</v>
      </c>
      <c r="AI755">
        <v>230</v>
      </c>
      <c r="AJ755">
        <v>7</v>
      </c>
      <c r="AK755">
        <v>149</v>
      </c>
      <c r="AL755" t="s">
        <v>531</v>
      </c>
      <c r="AM755" t="s">
        <v>532</v>
      </c>
      <c r="AN755" t="s">
        <v>533</v>
      </c>
      <c r="AO755" t="s">
        <v>10844</v>
      </c>
      <c r="AP755" t="s">
        <v>10845</v>
      </c>
      <c r="AQ755" t="s">
        <v>74</v>
      </c>
      <c r="AR755" t="s">
        <v>10846</v>
      </c>
      <c r="AS755" t="s">
        <v>10847</v>
      </c>
      <c r="AT755" t="s">
        <v>10473</v>
      </c>
      <c r="AU755">
        <v>2004</v>
      </c>
      <c r="AV755">
        <v>66</v>
      </c>
      <c r="AW755" t="s">
        <v>2537</v>
      </c>
      <c r="AX755" t="s">
        <v>74</v>
      </c>
      <c r="AY755" t="s">
        <v>74</v>
      </c>
      <c r="AZ755" t="s">
        <v>74</v>
      </c>
      <c r="BA755" t="s">
        <v>74</v>
      </c>
      <c r="BB755">
        <v>143</v>
      </c>
      <c r="BC755">
        <v>162</v>
      </c>
      <c r="BD755" t="s">
        <v>74</v>
      </c>
      <c r="BE755" t="s">
        <v>10862</v>
      </c>
      <c r="BF755" t="str">
        <f>HYPERLINK("http://dx.doi.org/10.1016/j.earscirev.2003.10.003","http://dx.doi.org/10.1016/j.earscirev.2003.10.003")</f>
        <v>http://dx.doi.org/10.1016/j.earscirev.2003.10.003</v>
      </c>
      <c r="BG755" t="s">
        <v>74</v>
      </c>
      <c r="BH755" t="s">
        <v>74</v>
      </c>
      <c r="BI755">
        <v>20</v>
      </c>
      <c r="BJ755" t="s">
        <v>248</v>
      </c>
      <c r="BK755" t="s">
        <v>139</v>
      </c>
      <c r="BL755" t="s">
        <v>249</v>
      </c>
      <c r="BM755" t="s">
        <v>10849</v>
      </c>
      <c r="BN755" t="s">
        <v>74</v>
      </c>
      <c r="BO755" t="s">
        <v>74</v>
      </c>
      <c r="BP755" t="s">
        <v>74</v>
      </c>
      <c r="BQ755" t="s">
        <v>74</v>
      </c>
      <c r="BR755" t="s">
        <v>98</v>
      </c>
      <c r="BS755" t="s">
        <v>10863</v>
      </c>
      <c r="BT755" t="str">
        <f>HYPERLINK("https%3A%2F%2Fwww.webofscience.com%2Fwos%2Fwoscc%2Ffull-record%2FWOS:000225696700004","View Full Record in Web of Science")</f>
        <v>View Full Record in Web of Science</v>
      </c>
    </row>
    <row r="756" spans="1:72" x14ac:dyDescent="0.15">
      <c r="A756" t="s">
        <v>122</v>
      </c>
      <c r="B756" t="s">
        <v>10864</v>
      </c>
      <c r="C756" t="s">
        <v>74</v>
      </c>
      <c r="D756" t="s">
        <v>74</v>
      </c>
      <c r="E756" t="s">
        <v>74</v>
      </c>
      <c r="F756" t="s">
        <v>10864</v>
      </c>
      <c r="G756" t="s">
        <v>74</v>
      </c>
      <c r="H756" t="s">
        <v>74</v>
      </c>
      <c r="I756" t="s">
        <v>10865</v>
      </c>
      <c r="J756" t="s">
        <v>10866</v>
      </c>
      <c r="K756" t="s">
        <v>74</v>
      </c>
      <c r="L756" t="s">
        <v>74</v>
      </c>
      <c r="M756" t="s">
        <v>79</v>
      </c>
      <c r="N756" t="s">
        <v>126</v>
      </c>
      <c r="O756" t="s">
        <v>74</v>
      </c>
      <c r="P756" t="s">
        <v>74</v>
      </c>
      <c r="Q756" t="s">
        <v>74</v>
      </c>
      <c r="R756" t="s">
        <v>74</v>
      </c>
      <c r="S756" t="s">
        <v>74</v>
      </c>
      <c r="T756" t="s">
        <v>10867</v>
      </c>
      <c r="U756" t="s">
        <v>10868</v>
      </c>
      <c r="V756" t="s">
        <v>10869</v>
      </c>
      <c r="W756" t="s">
        <v>10870</v>
      </c>
      <c r="X756" t="s">
        <v>10871</v>
      </c>
      <c r="Y756" t="s">
        <v>10872</v>
      </c>
      <c r="Z756" t="s">
        <v>10873</v>
      </c>
      <c r="AA756" t="s">
        <v>74</v>
      </c>
      <c r="AB756" t="s">
        <v>10874</v>
      </c>
      <c r="AC756" t="s">
        <v>74</v>
      </c>
      <c r="AD756" t="s">
        <v>74</v>
      </c>
      <c r="AE756" t="s">
        <v>74</v>
      </c>
      <c r="AF756" t="s">
        <v>74</v>
      </c>
      <c r="AG756">
        <v>57</v>
      </c>
      <c r="AH756">
        <v>25</v>
      </c>
      <c r="AI756">
        <v>27</v>
      </c>
      <c r="AJ756">
        <v>0</v>
      </c>
      <c r="AK756">
        <v>11</v>
      </c>
      <c r="AL756" t="s">
        <v>1418</v>
      </c>
      <c r="AM756" t="s">
        <v>1419</v>
      </c>
      <c r="AN756" t="s">
        <v>1420</v>
      </c>
      <c r="AO756" t="s">
        <v>10875</v>
      </c>
      <c r="AP756" t="s">
        <v>10876</v>
      </c>
      <c r="AQ756" t="s">
        <v>74</v>
      </c>
      <c r="AR756" t="s">
        <v>10877</v>
      </c>
      <c r="AS756" t="s">
        <v>10878</v>
      </c>
      <c r="AT756" t="s">
        <v>10473</v>
      </c>
      <c r="AU756">
        <v>2004</v>
      </c>
      <c r="AV756">
        <v>14</v>
      </c>
      <c r="AW756">
        <v>3</v>
      </c>
      <c r="AX756" t="s">
        <v>74</v>
      </c>
      <c r="AY756" t="s">
        <v>74</v>
      </c>
      <c r="AZ756" t="s">
        <v>74</v>
      </c>
      <c r="BA756" t="s">
        <v>74</v>
      </c>
      <c r="BB756">
        <v>942</v>
      </c>
      <c r="BC756">
        <v>953</v>
      </c>
      <c r="BD756" t="s">
        <v>74</v>
      </c>
      <c r="BE756" t="s">
        <v>10879</v>
      </c>
      <c r="BF756" t="str">
        <f>HYPERLINK("http://dx.doi.org/10.1890/03-5016","http://dx.doi.org/10.1890/03-5016")</f>
        <v>http://dx.doi.org/10.1890/03-5016</v>
      </c>
      <c r="BG756" t="s">
        <v>74</v>
      </c>
      <c r="BH756" t="s">
        <v>74</v>
      </c>
      <c r="BI756">
        <v>12</v>
      </c>
      <c r="BJ756" t="s">
        <v>1304</v>
      </c>
      <c r="BK756" t="s">
        <v>139</v>
      </c>
      <c r="BL756" t="s">
        <v>1305</v>
      </c>
      <c r="BM756" t="s">
        <v>10880</v>
      </c>
      <c r="BN756" t="s">
        <v>74</v>
      </c>
      <c r="BO756" t="s">
        <v>74</v>
      </c>
      <c r="BP756" t="s">
        <v>74</v>
      </c>
      <c r="BQ756" t="s">
        <v>74</v>
      </c>
      <c r="BR756" t="s">
        <v>98</v>
      </c>
      <c r="BS756" t="s">
        <v>10881</v>
      </c>
      <c r="BT756" t="str">
        <f>HYPERLINK("https%3A%2F%2Fwww.webofscience.com%2Fwos%2Fwoscc%2Ffull-record%2FWOS:000222174000025","View Full Record in Web of Science")</f>
        <v>View Full Record in Web of Science</v>
      </c>
    </row>
    <row r="757" spans="1:72" x14ac:dyDescent="0.15">
      <c r="A757" t="s">
        <v>122</v>
      </c>
      <c r="B757" t="s">
        <v>10882</v>
      </c>
      <c r="C757" t="s">
        <v>74</v>
      </c>
      <c r="D757" t="s">
        <v>74</v>
      </c>
      <c r="E757" t="s">
        <v>74</v>
      </c>
      <c r="F757" t="s">
        <v>10882</v>
      </c>
      <c r="G757" t="s">
        <v>74</v>
      </c>
      <c r="H757" t="s">
        <v>74</v>
      </c>
      <c r="I757" t="s">
        <v>10883</v>
      </c>
      <c r="J757" t="s">
        <v>10884</v>
      </c>
      <c r="K757" t="s">
        <v>74</v>
      </c>
      <c r="L757" t="s">
        <v>74</v>
      </c>
      <c r="M757" t="s">
        <v>79</v>
      </c>
      <c r="N757" t="s">
        <v>10885</v>
      </c>
      <c r="O757" t="s">
        <v>74</v>
      </c>
      <c r="P757" t="s">
        <v>74</v>
      </c>
      <c r="Q757" t="s">
        <v>74</v>
      </c>
      <c r="R757" t="s">
        <v>74</v>
      </c>
      <c r="S757" t="s">
        <v>74</v>
      </c>
      <c r="T757" t="s">
        <v>74</v>
      </c>
      <c r="U757" t="s">
        <v>74</v>
      </c>
      <c r="V757" t="s">
        <v>74</v>
      </c>
      <c r="W757" t="s">
        <v>74</v>
      </c>
      <c r="X757" t="s">
        <v>74</v>
      </c>
      <c r="Y757" t="s">
        <v>74</v>
      </c>
      <c r="Z757" t="s">
        <v>74</v>
      </c>
      <c r="AA757" t="s">
        <v>10886</v>
      </c>
      <c r="AB757" t="s">
        <v>74</v>
      </c>
      <c r="AC757" t="s">
        <v>74</v>
      </c>
      <c r="AD757" t="s">
        <v>74</v>
      </c>
      <c r="AE757" t="s">
        <v>74</v>
      </c>
      <c r="AF757" t="s">
        <v>74</v>
      </c>
      <c r="AG757">
        <v>1</v>
      </c>
      <c r="AH757">
        <v>0</v>
      </c>
      <c r="AI757">
        <v>0</v>
      </c>
      <c r="AJ757">
        <v>0</v>
      </c>
      <c r="AK757">
        <v>0</v>
      </c>
      <c r="AL757" t="s">
        <v>1330</v>
      </c>
      <c r="AM757" t="s">
        <v>197</v>
      </c>
      <c r="AN757" t="s">
        <v>1331</v>
      </c>
      <c r="AO757" t="s">
        <v>10887</v>
      </c>
      <c r="AP757" t="s">
        <v>74</v>
      </c>
      <c r="AQ757" t="s">
        <v>74</v>
      </c>
      <c r="AR757" t="s">
        <v>10888</v>
      </c>
      <c r="AS757" t="s">
        <v>10889</v>
      </c>
      <c r="AT757" t="s">
        <v>10473</v>
      </c>
      <c r="AU757">
        <v>2004</v>
      </c>
      <c r="AV757">
        <v>271</v>
      </c>
      <c r="AW757">
        <v>11</v>
      </c>
      <c r="AX757" t="s">
        <v>74</v>
      </c>
      <c r="AY757" t="s">
        <v>74</v>
      </c>
      <c r="AZ757" t="s">
        <v>74</v>
      </c>
      <c r="BA757" t="s">
        <v>74</v>
      </c>
      <c r="BB757">
        <v>2291</v>
      </c>
      <c r="BC757">
        <v>2291</v>
      </c>
      <c r="BD757" t="s">
        <v>74</v>
      </c>
      <c r="BE757" t="s">
        <v>74</v>
      </c>
      <c r="BF757" t="s">
        <v>74</v>
      </c>
      <c r="BG757" t="s">
        <v>74</v>
      </c>
      <c r="BH757" t="s">
        <v>74</v>
      </c>
      <c r="BI757">
        <v>1</v>
      </c>
      <c r="BJ757" t="s">
        <v>1214</v>
      </c>
      <c r="BK757" t="s">
        <v>139</v>
      </c>
      <c r="BL757" t="s">
        <v>1214</v>
      </c>
      <c r="BM757" t="s">
        <v>10890</v>
      </c>
      <c r="BN757" t="s">
        <v>74</v>
      </c>
      <c r="BO757" t="s">
        <v>74</v>
      </c>
      <c r="BP757" t="s">
        <v>74</v>
      </c>
      <c r="BQ757" t="s">
        <v>74</v>
      </c>
      <c r="BR757" t="s">
        <v>98</v>
      </c>
      <c r="BS757" t="s">
        <v>10891</v>
      </c>
      <c r="BT757" t="str">
        <f>HYPERLINK("https%3A%2F%2Fwww.webofscience.com%2Fwos%2Fwoscc%2Ffull-record%2FWOS:000221533600030","View Full Record in Web of Science")</f>
        <v>View Full Record in Web of Science</v>
      </c>
    </row>
    <row r="758" spans="1:72" x14ac:dyDescent="0.15">
      <c r="A758" t="s">
        <v>122</v>
      </c>
      <c r="B758" t="s">
        <v>10892</v>
      </c>
      <c r="C758" t="s">
        <v>74</v>
      </c>
      <c r="D758" t="s">
        <v>74</v>
      </c>
      <c r="E758" t="s">
        <v>74</v>
      </c>
      <c r="F758" t="s">
        <v>10892</v>
      </c>
      <c r="G758" t="s">
        <v>74</v>
      </c>
      <c r="H758" t="s">
        <v>74</v>
      </c>
      <c r="I758" t="s">
        <v>10893</v>
      </c>
      <c r="J758" t="s">
        <v>10894</v>
      </c>
      <c r="K758" t="s">
        <v>74</v>
      </c>
      <c r="L758" t="s">
        <v>74</v>
      </c>
      <c r="M758" t="s">
        <v>79</v>
      </c>
      <c r="N758" t="s">
        <v>126</v>
      </c>
      <c r="O758" t="s">
        <v>74</v>
      </c>
      <c r="P758" t="s">
        <v>74</v>
      </c>
      <c r="Q758" t="s">
        <v>74</v>
      </c>
      <c r="R758" t="s">
        <v>74</v>
      </c>
      <c r="S758" t="s">
        <v>74</v>
      </c>
      <c r="T758" t="s">
        <v>10895</v>
      </c>
      <c r="U758" t="s">
        <v>10896</v>
      </c>
      <c r="V758" t="s">
        <v>10897</v>
      </c>
      <c r="W758" t="s">
        <v>10898</v>
      </c>
      <c r="X758" t="s">
        <v>10899</v>
      </c>
      <c r="Y758" t="s">
        <v>10900</v>
      </c>
      <c r="Z758" t="s">
        <v>10901</v>
      </c>
      <c r="AA758" t="s">
        <v>10902</v>
      </c>
      <c r="AB758" t="s">
        <v>74</v>
      </c>
      <c r="AC758" t="s">
        <v>74</v>
      </c>
      <c r="AD758" t="s">
        <v>74</v>
      </c>
      <c r="AE758" t="s">
        <v>74</v>
      </c>
      <c r="AF758" t="s">
        <v>74</v>
      </c>
      <c r="AG758">
        <v>20</v>
      </c>
      <c r="AH758">
        <v>3</v>
      </c>
      <c r="AI758">
        <v>3</v>
      </c>
      <c r="AJ758">
        <v>0</v>
      </c>
      <c r="AK758">
        <v>2</v>
      </c>
      <c r="AL758" t="s">
        <v>10903</v>
      </c>
      <c r="AM758" t="s">
        <v>2076</v>
      </c>
      <c r="AN758" t="s">
        <v>10904</v>
      </c>
      <c r="AO758" t="s">
        <v>10905</v>
      </c>
      <c r="AP758" t="s">
        <v>74</v>
      </c>
      <c r="AQ758" t="s">
        <v>74</v>
      </c>
      <c r="AR758" t="s">
        <v>10906</v>
      </c>
      <c r="AS758" t="s">
        <v>10907</v>
      </c>
      <c r="AT758" t="s">
        <v>10473</v>
      </c>
      <c r="AU758">
        <v>2004</v>
      </c>
      <c r="AV758">
        <v>70</v>
      </c>
      <c r="AW758">
        <v>3</v>
      </c>
      <c r="AX758" t="s">
        <v>74</v>
      </c>
      <c r="AY758" t="s">
        <v>74</v>
      </c>
      <c r="AZ758" t="s">
        <v>74</v>
      </c>
      <c r="BA758" t="s">
        <v>74</v>
      </c>
      <c r="BB758">
        <v>381</v>
      </c>
      <c r="BC758">
        <v>388</v>
      </c>
      <c r="BD758" t="s">
        <v>74</v>
      </c>
      <c r="BE758" t="s">
        <v>10908</v>
      </c>
      <c r="BF758" t="str">
        <f>HYPERLINK("http://dx.doi.org/10.1111/j.1444-2906.2004.00817.x","http://dx.doi.org/10.1111/j.1444-2906.2004.00817.x")</f>
        <v>http://dx.doi.org/10.1111/j.1444-2906.2004.00817.x</v>
      </c>
      <c r="BG758" t="s">
        <v>74</v>
      </c>
      <c r="BH758" t="s">
        <v>74</v>
      </c>
      <c r="BI758">
        <v>8</v>
      </c>
      <c r="BJ758" t="s">
        <v>10909</v>
      </c>
      <c r="BK758" t="s">
        <v>139</v>
      </c>
      <c r="BL758" t="s">
        <v>10909</v>
      </c>
      <c r="BM758" t="s">
        <v>10910</v>
      </c>
      <c r="BN758" t="s">
        <v>74</v>
      </c>
      <c r="BO758" t="s">
        <v>273</v>
      </c>
      <c r="BP758" t="s">
        <v>74</v>
      </c>
      <c r="BQ758" t="s">
        <v>74</v>
      </c>
      <c r="BR758" t="s">
        <v>98</v>
      </c>
      <c r="BS758" t="s">
        <v>10911</v>
      </c>
      <c r="BT758" t="str">
        <f>HYPERLINK("https%3A%2F%2Fwww.webofscience.com%2Fwos%2Fwoscc%2Ffull-record%2FWOS:000222742800005","View Full Record in Web of Science")</f>
        <v>View Full Record in Web of Science</v>
      </c>
    </row>
    <row r="759" spans="1:72" x14ac:dyDescent="0.15">
      <c r="A759" t="s">
        <v>122</v>
      </c>
      <c r="B759" t="s">
        <v>10912</v>
      </c>
      <c r="C759" t="s">
        <v>74</v>
      </c>
      <c r="D759" t="s">
        <v>74</v>
      </c>
      <c r="E759" t="s">
        <v>74</v>
      </c>
      <c r="F759" t="s">
        <v>10912</v>
      </c>
      <c r="G759" t="s">
        <v>74</v>
      </c>
      <c r="H759" t="s">
        <v>74</v>
      </c>
      <c r="I759" t="s">
        <v>10913</v>
      </c>
      <c r="J759" t="s">
        <v>6060</v>
      </c>
      <c r="K759" t="s">
        <v>74</v>
      </c>
      <c r="L759" t="s">
        <v>74</v>
      </c>
      <c r="M759" t="s">
        <v>79</v>
      </c>
      <c r="N759" t="s">
        <v>126</v>
      </c>
      <c r="O759" t="s">
        <v>74</v>
      </c>
      <c r="P759" t="s">
        <v>74</v>
      </c>
      <c r="Q759" t="s">
        <v>74</v>
      </c>
      <c r="R759" t="s">
        <v>74</v>
      </c>
      <c r="S759" t="s">
        <v>74</v>
      </c>
      <c r="T759" t="s">
        <v>10914</v>
      </c>
      <c r="U759" t="s">
        <v>10915</v>
      </c>
      <c r="V759" t="s">
        <v>10916</v>
      </c>
      <c r="W759" t="s">
        <v>10917</v>
      </c>
      <c r="X759" t="s">
        <v>10918</v>
      </c>
      <c r="Y759" t="s">
        <v>10919</v>
      </c>
      <c r="Z759" t="s">
        <v>10920</v>
      </c>
      <c r="AA759" t="s">
        <v>10921</v>
      </c>
      <c r="AB759" t="s">
        <v>10922</v>
      </c>
      <c r="AC759" t="s">
        <v>74</v>
      </c>
      <c r="AD759" t="s">
        <v>74</v>
      </c>
      <c r="AE759" t="s">
        <v>74</v>
      </c>
      <c r="AF759" t="s">
        <v>74</v>
      </c>
      <c r="AG759">
        <v>42</v>
      </c>
      <c r="AH759">
        <v>21</v>
      </c>
      <c r="AI759">
        <v>23</v>
      </c>
      <c r="AJ759">
        <v>0</v>
      </c>
      <c r="AK759">
        <v>14</v>
      </c>
      <c r="AL759" t="s">
        <v>1330</v>
      </c>
      <c r="AM759" t="s">
        <v>197</v>
      </c>
      <c r="AN759" t="s">
        <v>1331</v>
      </c>
      <c r="AO759" t="s">
        <v>6064</v>
      </c>
      <c r="AP759" t="s">
        <v>74</v>
      </c>
      <c r="AQ759" t="s">
        <v>74</v>
      </c>
      <c r="AR759" t="s">
        <v>6066</v>
      </c>
      <c r="AS759" t="s">
        <v>6067</v>
      </c>
      <c r="AT759" t="s">
        <v>10473</v>
      </c>
      <c r="AU759">
        <v>2004</v>
      </c>
      <c r="AV759">
        <v>49</v>
      </c>
      <c r="AW759">
        <v>6</v>
      </c>
      <c r="AX759" t="s">
        <v>74</v>
      </c>
      <c r="AY759" t="s">
        <v>74</v>
      </c>
      <c r="AZ759" t="s">
        <v>74</v>
      </c>
      <c r="BA759" t="s">
        <v>74</v>
      </c>
      <c r="BB759">
        <v>735</v>
      </c>
      <c r="BC759">
        <v>744</v>
      </c>
      <c r="BD759" t="s">
        <v>74</v>
      </c>
      <c r="BE759" t="s">
        <v>10923</v>
      </c>
      <c r="BF759" t="str">
        <f>HYPERLINK("http://dx.doi.org/10.1111/j.1365-2427.2004.01221.x","http://dx.doi.org/10.1111/j.1365-2427.2004.01221.x")</f>
        <v>http://dx.doi.org/10.1111/j.1365-2427.2004.01221.x</v>
      </c>
      <c r="BG759" t="s">
        <v>74</v>
      </c>
      <c r="BH759" t="s">
        <v>74</v>
      </c>
      <c r="BI759">
        <v>10</v>
      </c>
      <c r="BJ759" t="s">
        <v>3942</v>
      </c>
      <c r="BK759" t="s">
        <v>139</v>
      </c>
      <c r="BL759" t="s">
        <v>1797</v>
      </c>
      <c r="BM759" t="s">
        <v>10924</v>
      </c>
      <c r="BN759" t="s">
        <v>74</v>
      </c>
      <c r="BO759" t="s">
        <v>74</v>
      </c>
      <c r="BP759" t="s">
        <v>74</v>
      </c>
      <c r="BQ759" t="s">
        <v>74</v>
      </c>
      <c r="BR759" t="s">
        <v>98</v>
      </c>
      <c r="BS759" t="s">
        <v>10925</v>
      </c>
      <c r="BT759" t="str">
        <f>HYPERLINK("https%3A%2F%2Fwww.webofscience.com%2Fwos%2Fwoscc%2Ffull-record%2FWOS:000221492000005","View Full Record in Web of Science")</f>
        <v>View Full Record in Web of Science</v>
      </c>
    </row>
    <row r="760" spans="1:72" x14ac:dyDescent="0.15">
      <c r="A760" t="s">
        <v>122</v>
      </c>
      <c r="B760" t="s">
        <v>10926</v>
      </c>
      <c r="C760" t="s">
        <v>74</v>
      </c>
      <c r="D760" t="s">
        <v>74</v>
      </c>
      <c r="E760" t="s">
        <v>74</v>
      </c>
      <c r="F760" t="s">
        <v>10926</v>
      </c>
      <c r="G760" t="s">
        <v>74</v>
      </c>
      <c r="H760" t="s">
        <v>74</v>
      </c>
      <c r="I760" t="s">
        <v>10927</v>
      </c>
      <c r="J760" t="s">
        <v>3171</v>
      </c>
      <c r="K760" t="s">
        <v>74</v>
      </c>
      <c r="L760" t="s">
        <v>74</v>
      </c>
      <c r="M760" t="s">
        <v>79</v>
      </c>
      <c r="N760" t="s">
        <v>52</v>
      </c>
      <c r="O760" t="s">
        <v>10928</v>
      </c>
      <c r="P760" t="s">
        <v>10929</v>
      </c>
      <c r="Q760" t="s">
        <v>10930</v>
      </c>
      <c r="R760" t="s">
        <v>74</v>
      </c>
      <c r="S760" t="s">
        <v>10931</v>
      </c>
      <c r="T760" t="s">
        <v>74</v>
      </c>
      <c r="U760" t="s">
        <v>74</v>
      </c>
      <c r="V760" t="s">
        <v>74</v>
      </c>
      <c r="W760" t="s">
        <v>10932</v>
      </c>
      <c r="X760" t="s">
        <v>10933</v>
      </c>
      <c r="Y760" t="s">
        <v>74</v>
      </c>
      <c r="Z760" t="s">
        <v>10934</v>
      </c>
      <c r="AA760" t="s">
        <v>10935</v>
      </c>
      <c r="AB760" t="s">
        <v>74</v>
      </c>
      <c r="AC760" t="s">
        <v>74</v>
      </c>
      <c r="AD760" t="s">
        <v>74</v>
      </c>
      <c r="AE760" t="s">
        <v>74</v>
      </c>
      <c r="AF760" t="s">
        <v>74</v>
      </c>
      <c r="AG760">
        <v>0</v>
      </c>
      <c r="AH760">
        <v>1</v>
      </c>
      <c r="AI760">
        <v>1</v>
      </c>
      <c r="AJ760">
        <v>0</v>
      </c>
      <c r="AK760">
        <v>5</v>
      </c>
      <c r="AL760" t="s">
        <v>1273</v>
      </c>
      <c r="AM760" t="s">
        <v>197</v>
      </c>
      <c r="AN760" t="s">
        <v>1274</v>
      </c>
      <c r="AO760" t="s">
        <v>3180</v>
      </c>
      <c r="AP760" t="s">
        <v>3181</v>
      </c>
      <c r="AQ760" t="s">
        <v>74</v>
      </c>
      <c r="AR760" t="s">
        <v>3182</v>
      </c>
      <c r="AS760" t="s">
        <v>3183</v>
      </c>
      <c r="AT760" t="s">
        <v>10473</v>
      </c>
      <c r="AU760">
        <v>2004</v>
      </c>
      <c r="AV760">
        <v>68</v>
      </c>
      <c r="AW760">
        <v>11</v>
      </c>
      <c r="AX760" t="s">
        <v>74</v>
      </c>
      <c r="AY760" t="s">
        <v>8055</v>
      </c>
      <c r="AZ760" t="s">
        <v>74</v>
      </c>
      <c r="BA760" t="s">
        <v>74</v>
      </c>
      <c r="BB760" t="s">
        <v>10936</v>
      </c>
      <c r="BC760" t="s">
        <v>10936</v>
      </c>
      <c r="BD760" t="s">
        <v>74</v>
      </c>
      <c r="BE760" t="s">
        <v>74</v>
      </c>
      <c r="BF760" t="s">
        <v>74</v>
      </c>
      <c r="BG760" t="s">
        <v>74</v>
      </c>
      <c r="BH760" t="s">
        <v>74</v>
      </c>
      <c r="BI760">
        <v>1</v>
      </c>
      <c r="BJ760" t="s">
        <v>271</v>
      </c>
      <c r="BK760" t="s">
        <v>1257</v>
      </c>
      <c r="BL760" t="s">
        <v>271</v>
      </c>
      <c r="BM760" t="s">
        <v>10937</v>
      </c>
      <c r="BN760" t="s">
        <v>74</v>
      </c>
      <c r="BO760" t="s">
        <v>74</v>
      </c>
      <c r="BP760" t="s">
        <v>74</v>
      </c>
      <c r="BQ760" t="s">
        <v>74</v>
      </c>
      <c r="BR760" t="s">
        <v>98</v>
      </c>
      <c r="BS760" t="s">
        <v>10938</v>
      </c>
      <c r="BT760" t="str">
        <f>HYPERLINK("https%3A%2F%2Fwww.webofscience.com%2Fwos%2Fwoscc%2Ffull-record%2FWOS:000221923400972","View Full Record in Web of Science")</f>
        <v>View Full Record in Web of Science</v>
      </c>
    </row>
    <row r="761" spans="1:72" x14ac:dyDescent="0.15">
      <c r="A761" t="s">
        <v>122</v>
      </c>
      <c r="B761" t="s">
        <v>10939</v>
      </c>
      <c r="C761" t="s">
        <v>74</v>
      </c>
      <c r="D761" t="s">
        <v>74</v>
      </c>
      <c r="E761" t="s">
        <v>74</v>
      </c>
      <c r="F761" t="s">
        <v>10939</v>
      </c>
      <c r="G761" t="s">
        <v>74</v>
      </c>
      <c r="H761" t="s">
        <v>74</v>
      </c>
      <c r="I761" t="s">
        <v>10940</v>
      </c>
      <c r="J761" t="s">
        <v>3171</v>
      </c>
      <c r="K761" t="s">
        <v>74</v>
      </c>
      <c r="L761" t="s">
        <v>74</v>
      </c>
      <c r="M761" t="s">
        <v>79</v>
      </c>
      <c r="N761" t="s">
        <v>52</v>
      </c>
      <c r="O761" t="s">
        <v>10928</v>
      </c>
      <c r="P761" t="s">
        <v>10929</v>
      </c>
      <c r="Q761" t="s">
        <v>10930</v>
      </c>
      <c r="R761" t="s">
        <v>74</v>
      </c>
      <c r="S761" t="s">
        <v>10931</v>
      </c>
      <c r="T761" t="s">
        <v>74</v>
      </c>
      <c r="U761" t="s">
        <v>74</v>
      </c>
      <c r="V761" t="s">
        <v>74</v>
      </c>
      <c r="W761" t="s">
        <v>10941</v>
      </c>
      <c r="X761" t="s">
        <v>748</v>
      </c>
      <c r="Y761" t="s">
        <v>74</v>
      </c>
      <c r="Z761" t="s">
        <v>10942</v>
      </c>
      <c r="AA761" t="s">
        <v>74</v>
      </c>
      <c r="AB761" t="s">
        <v>74</v>
      </c>
      <c r="AC761" t="s">
        <v>74</v>
      </c>
      <c r="AD761" t="s">
        <v>74</v>
      </c>
      <c r="AE761" t="s">
        <v>74</v>
      </c>
      <c r="AF761" t="s">
        <v>74</v>
      </c>
      <c r="AG761">
        <v>1</v>
      </c>
      <c r="AH761">
        <v>0</v>
      </c>
      <c r="AI761">
        <v>0</v>
      </c>
      <c r="AJ761">
        <v>0</v>
      </c>
      <c r="AK761">
        <v>0</v>
      </c>
      <c r="AL761" t="s">
        <v>1273</v>
      </c>
      <c r="AM761" t="s">
        <v>197</v>
      </c>
      <c r="AN761" t="s">
        <v>1274</v>
      </c>
      <c r="AO761" t="s">
        <v>3180</v>
      </c>
      <c r="AP761" t="s">
        <v>3181</v>
      </c>
      <c r="AQ761" t="s">
        <v>74</v>
      </c>
      <c r="AR761" t="s">
        <v>3182</v>
      </c>
      <c r="AS761" t="s">
        <v>3183</v>
      </c>
      <c r="AT761" t="s">
        <v>10473</v>
      </c>
      <c r="AU761">
        <v>2004</v>
      </c>
      <c r="AV761">
        <v>68</v>
      </c>
      <c r="AW761">
        <v>11</v>
      </c>
      <c r="AX761" t="s">
        <v>74</v>
      </c>
      <c r="AY761" t="s">
        <v>8055</v>
      </c>
      <c r="AZ761" t="s">
        <v>74</v>
      </c>
      <c r="BA761" t="s">
        <v>74</v>
      </c>
      <c r="BB761" t="s">
        <v>10943</v>
      </c>
      <c r="BC761" t="s">
        <v>10943</v>
      </c>
      <c r="BD761" t="s">
        <v>74</v>
      </c>
      <c r="BE761" t="s">
        <v>74</v>
      </c>
      <c r="BF761" t="s">
        <v>74</v>
      </c>
      <c r="BG761" t="s">
        <v>74</v>
      </c>
      <c r="BH761" t="s">
        <v>74</v>
      </c>
      <c r="BI761">
        <v>1</v>
      </c>
      <c r="BJ761" t="s">
        <v>271</v>
      </c>
      <c r="BK761" t="s">
        <v>1257</v>
      </c>
      <c r="BL761" t="s">
        <v>271</v>
      </c>
      <c r="BM761" t="s">
        <v>10937</v>
      </c>
      <c r="BN761" t="s">
        <v>74</v>
      </c>
      <c r="BO761" t="s">
        <v>74</v>
      </c>
      <c r="BP761" t="s">
        <v>74</v>
      </c>
      <c r="BQ761" t="s">
        <v>74</v>
      </c>
      <c r="BR761" t="s">
        <v>98</v>
      </c>
      <c r="BS761" t="s">
        <v>10944</v>
      </c>
      <c r="BT761" t="str">
        <f>HYPERLINK("https%3A%2F%2Fwww.webofscience.com%2Fwos%2Fwoscc%2Ffull-record%2FWOS:000221923401086","View Full Record in Web of Science")</f>
        <v>View Full Record in Web of Science</v>
      </c>
    </row>
    <row r="762" spans="1:72" x14ac:dyDescent="0.15">
      <c r="A762" t="s">
        <v>122</v>
      </c>
      <c r="B762" t="s">
        <v>10945</v>
      </c>
      <c r="C762" t="s">
        <v>74</v>
      </c>
      <c r="D762" t="s">
        <v>74</v>
      </c>
      <c r="E762" t="s">
        <v>74</v>
      </c>
      <c r="F762" t="s">
        <v>10945</v>
      </c>
      <c r="G762" t="s">
        <v>74</v>
      </c>
      <c r="H762" t="s">
        <v>74</v>
      </c>
      <c r="I762" t="s">
        <v>10946</v>
      </c>
      <c r="J762" t="s">
        <v>3171</v>
      </c>
      <c r="K762" t="s">
        <v>74</v>
      </c>
      <c r="L762" t="s">
        <v>74</v>
      </c>
      <c r="M762" t="s">
        <v>79</v>
      </c>
      <c r="N762" t="s">
        <v>52</v>
      </c>
      <c r="O762" t="s">
        <v>10928</v>
      </c>
      <c r="P762" t="s">
        <v>10929</v>
      </c>
      <c r="Q762" t="s">
        <v>10930</v>
      </c>
      <c r="R762" t="s">
        <v>74</v>
      </c>
      <c r="S762" t="s">
        <v>10931</v>
      </c>
      <c r="T762" t="s">
        <v>74</v>
      </c>
      <c r="U762" t="s">
        <v>74</v>
      </c>
      <c r="V762" t="s">
        <v>74</v>
      </c>
      <c r="W762" t="s">
        <v>10947</v>
      </c>
      <c r="X762" t="s">
        <v>10948</v>
      </c>
      <c r="Y762" t="s">
        <v>74</v>
      </c>
      <c r="Z762" t="s">
        <v>10949</v>
      </c>
      <c r="AA762" t="s">
        <v>10950</v>
      </c>
      <c r="AB762" t="s">
        <v>74</v>
      </c>
      <c r="AC762" t="s">
        <v>74</v>
      </c>
      <c r="AD762" t="s">
        <v>74</v>
      </c>
      <c r="AE762" t="s">
        <v>74</v>
      </c>
      <c r="AF762" t="s">
        <v>74</v>
      </c>
      <c r="AG762">
        <v>1</v>
      </c>
      <c r="AH762">
        <v>0</v>
      </c>
      <c r="AI762">
        <v>0</v>
      </c>
      <c r="AJ762">
        <v>0</v>
      </c>
      <c r="AK762">
        <v>1</v>
      </c>
      <c r="AL762" t="s">
        <v>1273</v>
      </c>
      <c r="AM762" t="s">
        <v>197</v>
      </c>
      <c r="AN762" t="s">
        <v>1274</v>
      </c>
      <c r="AO762" t="s">
        <v>3180</v>
      </c>
      <c r="AP762" t="s">
        <v>3181</v>
      </c>
      <c r="AQ762" t="s">
        <v>74</v>
      </c>
      <c r="AR762" t="s">
        <v>3182</v>
      </c>
      <c r="AS762" t="s">
        <v>3183</v>
      </c>
      <c r="AT762" t="s">
        <v>10473</v>
      </c>
      <c r="AU762">
        <v>2004</v>
      </c>
      <c r="AV762">
        <v>68</v>
      </c>
      <c r="AW762">
        <v>11</v>
      </c>
      <c r="AX762" t="s">
        <v>74</v>
      </c>
      <c r="AY762" t="s">
        <v>8055</v>
      </c>
      <c r="AZ762" t="s">
        <v>74</v>
      </c>
      <c r="BA762" t="s">
        <v>74</v>
      </c>
      <c r="BB762" t="s">
        <v>10951</v>
      </c>
      <c r="BC762" t="s">
        <v>10951</v>
      </c>
      <c r="BD762" t="s">
        <v>74</v>
      </c>
      <c r="BE762" t="s">
        <v>74</v>
      </c>
      <c r="BF762" t="s">
        <v>74</v>
      </c>
      <c r="BG762" t="s">
        <v>74</v>
      </c>
      <c r="BH762" t="s">
        <v>74</v>
      </c>
      <c r="BI762">
        <v>1</v>
      </c>
      <c r="BJ762" t="s">
        <v>271</v>
      </c>
      <c r="BK762" t="s">
        <v>1257</v>
      </c>
      <c r="BL762" t="s">
        <v>271</v>
      </c>
      <c r="BM762" t="s">
        <v>10937</v>
      </c>
      <c r="BN762" t="s">
        <v>74</v>
      </c>
      <c r="BO762" t="s">
        <v>74</v>
      </c>
      <c r="BP762" t="s">
        <v>74</v>
      </c>
      <c r="BQ762" t="s">
        <v>74</v>
      </c>
      <c r="BR762" t="s">
        <v>98</v>
      </c>
      <c r="BS762" t="s">
        <v>10952</v>
      </c>
      <c r="BT762" t="str">
        <f>HYPERLINK("https%3A%2F%2Fwww.webofscience.com%2Fwos%2Fwoscc%2Ffull-record%2FWOS:000221923401037","View Full Record in Web of Science")</f>
        <v>View Full Record in Web of Science</v>
      </c>
    </row>
    <row r="763" spans="1:72" x14ac:dyDescent="0.15">
      <c r="A763" t="s">
        <v>122</v>
      </c>
      <c r="B763" t="s">
        <v>10953</v>
      </c>
      <c r="C763" t="s">
        <v>74</v>
      </c>
      <c r="D763" t="s">
        <v>74</v>
      </c>
      <c r="E763" t="s">
        <v>74</v>
      </c>
      <c r="F763" t="s">
        <v>10953</v>
      </c>
      <c r="G763" t="s">
        <v>74</v>
      </c>
      <c r="H763" t="s">
        <v>74</v>
      </c>
      <c r="I763" t="s">
        <v>10954</v>
      </c>
      <c r="J763" t="s">
        <v>3171</v>
      </c>
      <c r="K763" t="s">
        <v>74</v>
      </c>
      <c r="L763" t="s">
        <v>74</v>
      </c>
      <c r="M763" t="s">
        <v>79</v>
      </c>
      <c r="N763" t="s">
        <v>52</v>
      </c>
      <c r="O763" t="s">
        <v>10928</v>
      </c>
      <c r="P763" t="s">
        <v>10929</v>
      </c>
      <c r="Q763" t="s">
        <v>10930</v>
      </c>
      <c r="R763" t="s">
        <v>74</v>
      </c>
      <c r="S763" t="s">
        <v>10931</v>
      </c>
      <c r="T763" t="s">
        <v>74</v>
      </c>
      <c r="U763" t="s">
        <v>74</v>
      </c>
      <c r="V763" t="s">
        <v>74</v>
      </c>
      <c r="W763" t="s">
        <v>10955</v>
      </c>
      <c r="X763" t="s">
        <v>10956</v>
      </c>
      <c r="Y763" t="s">
        <v>74</v>
      </c>
      <c r="Z763" t="s">
        <v>10957</v>
      </c>
      <c r="AA763" t="s">
        <v>10958</v>
      </c>
      <c r="AB763" t="s">
        <v>74</v>
      </c>
      <c r="AC763" t="s">
        <v>74</v>
      </c>
      <c r="AD763" t="s">
        <v>74</v>
      </c>
      <c r="AE763" t="s">
        <v>74</v>
      </c>
      <c r="AF763" t="s">
        <v>74</v>
      </c>
      <c r="AG763">
        <v>0</v>
      </c>
      <c r="AH763">
        <v>0</v>
      </c>
      <c r="AI763">
        <v>0</v>
      </c>
      <c r="AJ763">
        <v>0</v>
      </c>
      <c r="AK763">
        <v>0</v>
      </c>
      <c r="AL763" t="s">
        <v>1273</v>
      </c>
      <c r="AM763" t="s">
        <v>197</v>
      </c>
      <c r="AN763" t="s">
        <v>1274</v>
      </c>
      <c r="AO763" t="s">
        <v>3180</v>
      </c>
      <c r="AP763" t="s">
        <v>74</v>
      </c>
      <c r="AQ763" t="s">
        <v>74</v>
      </c>
      <c r="AR763" t="s">
        <v>3182</v>
      </c>
      <c r="AS763" t="s">
        <v>3183</v>
      </c>
      <c r="AT763" t="s">
        <v>10473</v>
      </c>
      <c r="AU763">
        <v>2004</v>
      </c>
      <c r="AV763">
        <v>68</v>
      </c>
      <c r="AW763">
        <v>11</v>
      </c>
      <c r="AX763" t="s">
        <v>74</v>
      </c>
      <c r="AY763" t="s">
        <v>8055</v>
      </c>
      <c r="AZ763" t="s">
        <v>74</v>
      </c>
      <c r="BA763" t="s">
        <v>74</v>
      </c>
      <c r="BB763" t="s">
        <v>10959</v>
      </c>
      <c r="BC763" t="s">
        <v>10959</v>
      </c>
      <c r="BD763" t="s">
        <v>74</v>
      </c>
      <c r="BE763" t="s">
        <v>74</v>
      </c>
      <c r="BF763" t="s">
        <v>74</v>
      </c>
      <c r="BG763" t="s">
        <v>74</v>
      </c>
      <c r="BH763" t="s">
        <v>74</v>
      </c>
      <c r="BI763">
        <v>1</v>
      </c>
      <c r="BJ763" t="s">
        <v>271</v>
      </c>
      <c r="BK763" t="s">
        <v>1150</v>
      </c>
      <c r="BL763" t="s">
        <v>271</v>
      </c>
      <c r="BM763" t="s">
        <v>10937</v>
      </c>
      <c r="BN763" t="s">
        <v>74</v>
      </c>
      <c r="BO763" t="s">
        <v>74</v>
      </c>
      <c r="BP763" t="s">
        <v>74</v>
      </c>
      <c r="BQ763" t="s">
        <v>74</v>
      </c>
      <c r="BR763" t="s">
        <v>98</v>
      </c>
      <c r="BS763" t="s">
        <v>10960</v>
      </c>
      <c r="BT763" t="str">
        <f>HYPERLINK("https%3A%2F%2Fwww.webofscience.com%2Fwos%2Fwoscc%2Ffull-record%2FWOS:000221923401016","View Full Record in Web of Science")</f>
        <v>View Full Record in Web of Science</v>
      </c>
    </row>
    <row r="764" spans="1:72" x14ac:dyDescent="0.15">
      <c r="A764" t="s">
        <v>122</v>
      </c>
      <c r="B764" t="s">
        <v>10961</v>
      </c>
      <c r="C764" t="s">
        <v>74</v>
      </c>
      <c r="D764" t="s">
        <v>74</v>
      </c>
      <c r="E764" t="s">
        <v>74</v>
      </c>
      <c r="F764" t="s">
        <v>10961</v>
      </c>
      <c r="G764" t="s">
        <v>74</v>
      </c>
      <c r="H764" t="s">
        <v>74</v>
      </c>
      <c r="I764" t="s">
        <v>10962</v>
      </c>
      <c r="J764" t="s">
        <v>3171</v>
      </c>
      <c r="K764" t="s">
        <v>74</v>
      </c>
      <c r="L764" t="s">
        <v>74</v>
      </c>
      <c r="M764" t="s">
        <v>79</v>
      </c>
      <c r="N764" t="s">
        <v>52</v>
      </c>
      <c r="O764" t="s">
        <v>10928</v>
      </c>
      <c r="P764" t="s">
        <v>10929</v>
      </c>
      <c r="Q764" t="s">
        <v>10930</v>
      </c>
      <c r="R764" t="s">
        <v>74</v>
      </c>
      <c r="S764" t="s">
        <v>10931</v>
      </c>
      <c r="T764" t="s">
        <v>74</v>
      </c>
      <c r="U764" t="s">
        <v>74</v>
      </c>
      <c r="V764" t="s">
        <v>74</v>
      </c>
      <c r="W764" t="s">
        <v>10963</v>
      </c>
      <c r="X764" t="s">
        <v>10964</v>
      </c>
      <c r="Y764" t="s">
        <v>74</v>
      </c>
      <c r="Z764" t="s">
        <v>74</v>
      </c>
      <c r="AA764" t="s">
        <v>10965</v>
      </c>
      <c r="AB764" t="s">
        <v>74</v>
      </c>
      <c r="AC764" t="s">
        <v>74</v>
      </c>
      <c r="AD764" t="s">
        <v>74</v>
      </c>
      <c r="AE764" t="s">
        <v>74</v>
      </c>
      <c r="AF764" t="s">
        <v>74</v>
      </c>
      <c r="AG764">
        <v>4</v>
      </c>
      <c r="AH764">
        <v>0</v>
      </c>
      <c r="AI764">
        <v>0</v>
      </c>
      <c r="AJ764">
        <v>0</v>
      </c>
      <c r="AK764">
        <v>0</v>
      </c>
      <c r="AL764" t="s">
        <v>1273</v>
      </c>
      <c r="AM764" t="s">
        <v>197</v>
      </c>
      <c r="AN764" t="s">
        <v>1274</v>
      </c>
      <c r="AO764" t="s">
        <v>3180</v>
      </c>
      <c r="AP764" t="s">
        <v>74</v>
      </c>
      <c r="AQ764" t="s">
        <v>74</v>
      </c>
      <c r="AR764" t="s">
        <v>3182</v>
      </c>
      <c r="AS764" t="s">
        <v>3183</v>
      </c>
      <c r="AT764" t="s">
        <v>10473</v>
      </c>
      <c r="AU764">
        <v>2004</v>
      </c>
      <c r="AV764">
        <v>68</v>
      </c>
      <c r="AW764">
        <v>11</v>
      </c>
      <c r="AX764" t="s">
        <v>74</v>
      </c>
      <c r="AY764" t="s">
        <v>8055</v>
      </c>
      <c r="AZ764" t="s">
        <v>74</v>
      </c>
      <c r="BA764" t="s">
        <v>74</v>
      </c>
      <c r="BB764" t="s">
        <v>10966</v>
      </c>
      <c r="BC764" t="s">
        <v>10966</v>
      </c>
      <c r="BD764" t="s">
        <v>74</v>
      </c>
      <c r="BE764" t="s">
        <v>74</v>
      </c>
      <c r="BF764" t="s">
        <v>74</v>
      </c>
      <c r="BG764" t="s">
        <v>74</v>
      </c>
      <c r="BH764" t="s">
        <v>74</v>
      </c>
      <c r="BI764">
        <v>1</v>
      </c>
      <c r="BJ764" t="s">
        <v>271</v>
      </c>
      <c r="BK764" t="s">
        <v>1150</v>
      </c>
      <c r="BL764" t="s">
        <v>271</v>
      </c>
      <c r="BM764" t="s">
        <v>10937</v>
      </c>
      <c r="BN764" t="s">
        <v>74</v>
      </c>
      <c r="BO764" t="s">
        <v>74</v>
      </c>
      <c r="BP764" t="s">
        <v>74</v>
      </c>
      <c r="BQ764" t="s">
        <v>74</v>
      </c>
      <c r="BR764" t="s">
        <v>98</v>
      </c>
      <c r="BS764" t="s">
        <v>10967</v>
      </c>
      <c r="BT764" t="str">
        <f>HYPERLINK("https%3A%2F%2Fwww.webofscience.com%2Fwos%2Fwoscc%2Ffull-record%2FWOS:000221923401308","View Full Record in Web of Science")</f>
        <v>View Full Record in Web of Science</v>
      </c>
    </row>
    <row r="765" spans="1:72" x14ac:dyDescent="0.15">
      <c r="A765" t="s">
        <v>122</v>
      </c>
      <c r="B765" t="s">
        <v>10968</v>
      </c>
      <c r="C765" t="s">
        <v>74</v>
      </c>
      <c r="D765" t="s">
        <v>74</v>
      </c>
      <c r="E765" t="s">
        <v>74</v>
      </c>
      <c r="F765" t="s">
        <v>10968</v>
      </c>
      <c r="G765" t="s">
        <v>74</v>
      </c>
      <c r="H765" t="s">
        <v>74</v>
      </c>
      <c r="I765" t="s">
        <v>10969</v>
      </c>
      <c r="J765" t="s">
        <v>3171</v>
      </c>
      <c r="K765" t="s">
        <v>74</v>
      </c>
      <c r="L765" t="s">
        <v>74</v>
      </c>
      <c r="M765" t="s">
        <v>79</v>
      </c>
      <c r="N765" t="s">
        <v>52</v>
      </c>
      <c r="O765" t="s">
        <v>10928</v>
      </c>
      <c r="P765" t="s">
        <v>10929</v>
      </c>
      <c r="Q765" t="s">
        <v>10930</v>
      </c>
      <c r="R765" t="s">
        <v>74</v>
      </c>
      <c r="S765" t="s">
        <v>10931</v>
      </c>
      <c r="T765" t="s">
        <v>74</v>
      </c>
      <c r="U765" t="s">
        <v>74</v>
      </c>
      <c r="V765" t="s">
        <v>74</v>
      </c>
      <c r="W765" t="s">
        <v>10970</v>
      </c>
      <c r="X765" t="s">
        <v>10971</v>
      </c>
      <c r="Y765" t="s">
        <v>74</v>
      </c>
      <c r="Z765" t="s">
        <v>10972</v>
      </c>
      <c r="AA765" t="s">
        <v>74</v>
      </c>
      <c r="AB765" t="s">
        <v>74</v>
      </c>
      <c r="AC765" t="s">
        <v>74</v>
      </c>
      <c r="AD765" t="s">
        <v>74</v>
      </c>
      <c r="AE765" t="s">
        <v>74</v>
      </c>
      <c r="AF765" t="s">
        <v>74</v>
      </c>
      <c r="AG765">
        <v>0</v>
      </c>
      <c r="AH765">
        <v>0</v>
      </c>
      <c r="AI765">
        <v>0</v>
      </c>
      <c r="AJ765">
        <v>0</v>
      </c>
      <c r="AK765">
        <v>0</v>
      </c>
      <c r="AL765" t="s">
        <v>1273</v>
      </c>
      <c r="AM765" t="s">
        <v>197</v>
      </c>
      <c r="AN765" t="s">
        <v>1274</v>
      </c>
      <c r="AO765" t="s">
        <v>3180</v>
      </c>
      <c r="AP765" t="s">
        <v>74</v>
      </c>
      <c r="AQ765" t="s">
        <v>74</v>
      </c>
      <c r="AR765" t="s">
        <v>3182</v>
      </c>
      <c r="AS765" t="s">
        <v>3183</v>
      </c>
      <c r="AT765" t="s">
        <v>10473</v>
      </c>
      <c r="AU765">
        <v>2004</v>
      </c>
      <c r="AV765">
        <v>68</v>
      </c>
      <c r="AW765">
        <v>11</v>
      </c>
      <c r="AX765" t="s">
        <v>74</v>
      </c>
      <c r="AY765" t="s">
        <v>8055</v>
      </c>
      <c r="AZ765" t="s">
        <v>74</v>
      </c>
      <c r="BA765" t="s">
        <v>74</v>
      </c>
      <c r="BB765" t="s">
        <v>10973</v>
      </c>
      <c r="BC765" t="s">
        <v>10973</v>
      </c>
      <c r="BD765" t="s">
        <v>74</v>
      </c>
      <c r="BE765" t="s">
        <v>74</v>
      </c>
      <c r="BF765" t="s">
        <v>74</v>
      </c>
      <c r="BG765" t="s">
        <v>74</v>
      </c>
      <c r="BH765" t="s">
        <v>74</v>
      </c>
      <c r="BI765">
        <v>1</v>
      </c>
      <c r="BJ765" t="s">
        <v>271</v>
      </c>
      <c r="BK765" t="s">
        <v>1150</v>
      </c>
      <c r="BL765" t="s">
        <v>271</v>
      </c>
      <c r="BM765" t="s">
        <v>10937</v>
      </c>
      <c r="BN765" t="s">
        <v>74</v>
      </c>
      <c r="BO765" t="s">
        <v>74</v>
      </c>
      <c r="BP765" t="s">
        <v>74</v>
      </c>
      <c r="BQ765" t="s">
        <v>74</v>
      </c>
      <c r="BR765" t="s">
        <v>98</v>
      </c>
      <c r="BS765" t="s">
        <v>10974</v>
      </c>
      <c r="BT765" t="str">
        <f>HYPERLINK("https%3A%2F%2Fwww.webofscience.com%2Fwos%2Fwoscc%2Ffull-record%2FWOS:000221923401386","View Full Record in Web of Science")</f>
        <v>View Full Record in Web of Science</v>
      </c>
    </row>
    <row r="766" spans="1:72" x14ac:dyDescent="0.15">
      <c r="A766" t="s">
        <v>122</v>
      </c>
      <c r="B766" t="s">
        <v>10975</v>
      </c>
      <c r="C766" t="s">
        <v>74</v>
      </c>
      <c r="D766" t="s">
        <v>74</v>
      </c>
      <c r="E766" t="s">
        <v>74</v>
      </c>
      <c r="F766" t="s">
        <v>10975</v>
      </c>
      <c r="G766" t="s">
        <v>74</v>
      </c>
      <c r="H766" t="s">
        <v>74</v>
      </c>
      <c r="I766" t="s">
        <v>10976</v>
      </c>
      <c r="J766" t="s">
        <v>3171</v>
      </c>
      <c r="K766" t="s">
        <v>74</v>
      </c>
      <c r="L766" t="s">
        <v>74</v>
      </c>
      <c r="M766" t="s">
        <v>79</v>
      </c>
      <c r="N766" t="s">
        <v>52</v>
      </c>
      <c r="O766" t="s">
        <v>10928</v>
      </c>
      <c r="P766" t="s">
        <v>10929</v>
      </c>
      <c r="Q766" t="s">
        <v>10930</v>
      </c>
      <c r="R766" t="s">
        <v>74</v>
      </c>
      <c r="S766" t="s">
        <v>10931</v>
      </c>
      <c r="T766" t="s">
        <v>74</v>
      </c>
      <c r="U766" t="s">
        <v>74</v>
      </c>
      <c r="V766" t="s">
        <v>74</v>
      </c>
      <c r="W766" t="s">
        <v>10977</v>
      </c>
      <c r="X766" t="s">
        <v>10978</v>
      </c>
      <c r="Y766" t="s">
        <v>74</v>
      </c>
      <c r="Z766" t="s">
        <v>10979</v>
      </c>
      <c r="AA766" t="s">
        <v>74</v>
      </c>
      <c r="AB766" t="s">
        <v>74</v>
      </c>
      <c r="AC766" t="s">
        <v>74</v>
      </c>
      <c r="AD766" t="s">
        <v>74</v>
      </c>
      <c r="AE766" t="s">
        <v>74</v>
      </c>
      <c r="AF766" t="s">
        <v>74</v>
      </c>
      <c r="AG766">
        <v>1</v>
      </c>
      <c r="AH766">
        <v>1</v>
      </c>
      <c r="AI766">
        <v>1</v>
      </c>
      <c r="AJ766">
        <v>0</v>
      </c>
      <c r="AK766">
        <v>1</v>
      </c>
      <c r="AL766" t="s">
        <v>1273</v>
      </c>
      <c r="AM766" t="s">
        <v>197</v>
      </c>
      <c r="AN766" t="s">
        <v>1274</v>
      </c>
      <c r="AO766" t="s">
        <v>3180</v>
      </c>
      <c r="AP766" t="s">
        <v>3181</v>
      </c>
      <c r="AQ766" t="s">
        <v>74</v>
      </c>
      <c r="AR766" t="s">
        <v>3182</v>
      </c>
      <c r="AS766" t="s">
        <v>3183</v>
      </c>
      <c r="AT766" t="s">
        <v>10473</v>
      </c>
      <c r="AU766">
        <v>2004</v>
      </c>
      <c r="AV766">
        <v>68</v>
      </c>
      <c r="AW766">
        <v>11</v>
      </c>
      <c r="AX766" t="s">
        <v>74</v>
      </c>
      <c r="AY766" t="s">
        <v>8055</v>
      </c>
      <c r="AZ766" t="s">
        <v>74</v>
      </c>
      <c r="BA766" t="s">
        <v>74</v>
      </c>
      <c r="BB766" t="s">
        <v>10980</v>
      </c>
      <c r="BC766" t="s">
        <v>10980</v>
      </c>
      <c r="BD766" t="s">
        <v>74</v>
      </c>
      <c r="BE766" t="s">
        <v>74</v>
      </c>
      <c r="BF766" t="s">
        <v>74</v>
      </c>
      <c r="BG766" t="s">
        <v>74</v>
      </c>
      <c r="BH766" t="s">
        <v>74</v>
      </c>
      <c r="BI766">
        <v>1</v>
      </c>
      <c r="BJ766" t="s">
        <v>271</v>
      </c>
      <c r="BK766" t="s">
        <v>1257</v>
      </c>
      <c r="BL766" t="s">
        <v>271</v>
      </c>
      <c r="BM766" t="s">
        <v>10937</v>
      </c>
      <c r="BN766" t="s">
        <v>74</v>
      </c>
      <c r="BO766" t="s">
        <v>74</v>
      </c>
      <c r="BP766" t="s">
        <v>74</v>
      </c>
      <c r="BQ766" t="s">
        <v>74</v>
      </c>
      <c r="BR766" t="s">
        <v>98</v>
      </c>
      <c r="BS766" t="s">
        <v>10981</v>
      </c>
      <c r="BT766" t="str">
        <f>HYPERLINK("https%3A%2F%2Fwww.webofscience.com%2Fwos%2Fwoscc%2Ffull-record%2FWOS:000221923401058","View Full Record in Web of Science")</f>
        <v>View Full Record in Web of Science</v>
      </c>
    </row>
    <row r="767" spans="1:72" x14ac:dyDescent="0.15">
      <c r="A767" t="s">
        <v>122</v>
      </c>
      <c r="B767" t="s">
        <v>10982</v>
      </c>
      <c r="C767" t="s">
        <v>74</v>
      </c>
      <c r="D767" t="s">
        <v>74</v>
      </c>
      <c r="E767" t="s">
        <v>74</v>
      </c>
      <c r="F767" t="s">
        <v>10982</v>
      </c>
      <c r="G767" t="s">
        <v>74</v>
      </c>
      <c r="H767" t="s">
        <v>74</v>
      </c>
      <c r="I767" t="s">
        <v>10983</v>
      </c>
      <c r="J767" t="s">
        <v>3211</v>
      </c>
      <c r="K767" t="s">
        <v>74</v>
      </c>
      <c r="L767" t="s">
        <v>74</v>
      </c>
      <c r="M767" t="s">
        <v>79</v>
      </c>
      <c r="N767" t="s">
        <v>126</v>
      </c>
      <c r="O767" t="s">
        <v>74</v>
      </c>
      <c r="P767" t="s">
        <v>74</v>
      </c>
      <c r="Q767" t="s">
        <v>74</v>
      </c>
      <c r="R767" t="s">
        <v>74</v>
      </c>
      <c r="S767" t="s">
        <v>74</v>
      </c>
      <c r="T767" t="s">
        <v>10984</v>
      </c>
      <c r="U767" t="s">
        <v>10985</v>
      </c>
      <c r="V767" t="s">
        <v>10986</v>
      </c>
      <c r="W767" t="s">
        <v>10987</v>
      </c>
      <c r="X767" t="s">
        <v>10988</v>
      </c>
      <c r="Y767" t="s">
        <v>10989</v>
      </c>
      <c r="Z767" t="s">
        <v>74</v>
      </c>
      <c r="AA767" t="s">
        <v>74</v>
      </c>
      <c r="AB767" t="s">
        <v>10990</v>
      </c>
      <c r="AC767" t="s">
        <v>74</v>
      </c>
      <c r="AD767" t="s">
        <v>74</v>
      </c>
      <c r="AE767" t="s">
        <v>74</v>
      </c>
      <c r="AF767" t="s">
        <v>74</v>
      </c>
      <c r="AG767">
        <v>30</v>
      </c>
      <c r="AH767">
        <v>54</v>
      </c>
      <c r="AI767">
        <v>62</v>
      </c>
      <c r="AJ767">
        <v>0</v>
      </c>
      <c r="AK767">
        <v>10</v>
      </c>
      <c r="AL767" t="s">
        <v>3199</v>
      </c>
      <c r="AM767" t="s">
        <v>2601</v>
      </c>
      <c r="AN767" t="s">
        <v>3200</v>
      </c>
      <c r="AO767" t="s">
        <v>3221</v>
      </c>
      <c r="AP767" t="s">
        <v>3222</v>
      </c>
      <c r="AQ767" t="s">
        <v>74</v>
      </c>
      <c r="AR767" t="s">
        <v>3211</v>
      </c>
      <c r="AS767" t="s">
        <v>249</v>
      </c>
      <c r="AT767" t="s">
        <v>10473</v>
      </c>
      <c r="AU767">
        <v>2004</v>
      </c>
      <c r="AV767">
        <v>32</v>
      </c>
      <c r="AW767">
        <v>6</v>
      </c>
      <c r="AX767" t="s">
        <v>74</v>
      </c>
      <c r="AY767" t="s">
        <v>74</v>
      </c>
      <c r="AZ767" t="s">
        <v>74</v>
      </c>
      <c r="BA767" t="s">
        <v>74</v>
      </c>
      <c r="BB767">
        <v>481</v>
      </c>
      <c r="BC767">
        <v>484</v>
      </c>
      <c r="BD767" t="s">
        <v>74</v>
      </c>
      <c r="BE767" t="s">
        <v>10991</v>
      </c>
      <c r="BF767" t="str">
        <f>HYPERLINK("http://dx.doi.org/10.1130/g20317.1","http://dx.doi.org/10.1130/g20317.1")</f>
        <v>http://dx.doi.org/10.1130/g20317.1</v>
      </c>
      <c r="BG767" t="s">
        <v>74</v>
      </c>
      <c r="BH767" t="s">
        <v>74</v>
      </c>
      <c r="BI767">
        <v>4</v>
      </c>
      <c r="BJ767" t="s">
        <v>249</v>
      </c>
      <c r="BK767" t="s">
        <v>139</v>
      </c>
      <c r="BL767" t="s">
        <v>249</v>
      </c>
      <c r="BM767" t="s">
        <v>10992</v>
      </c>
      <c r="BN767" t="s">
        <v>74</v>
      </c>
      <c r="BO767" t="s">
        <v>251</v>
      </c>
      <c r="BP767" t="s">
        <v>74</v>
      </c>
      <c r="BQ767" t="s">
        <v>74</v>
      </c>
      <c r="BR767" t="s">
        <v>98</v>
      </c>
      <c r="BS767" t="s">
        <v>10993</v>
      </c>
      <c r="BT767" t="str">
        <f>HYPERLINK("https%3A%2F%2Fwww.webofscience.com%2Fwos%2Fwoscc%2Ffull-record%2FWOS:000221849500005","View Full Record in Web of Science")</f>
        <v>View Full Record in Web of Science</v>
      </c>
    </row>
    <row r="768" spans="1:72" x14ac:dyDescent="0.15">
      <c r="A768" t="s">
        <v>122</v>
      </c>
      <c r="B768" t="s">
        <v>10994</v>
      </c>
      <c r="C768" t="s">
        <v>74</v>
      </c>
      <c r="D768" t="s">
        <v>74</v>
      </c>
      <c r="E768" t="s">
        <v>74</v>
      </c>
      <c r="F768" t="s">
        <v>10994</v>
      </c>
      <c r="G768" t="s">
        <v>74</v>
      </c>
      <c r="H768" t="s">
        <v>74</v>
      </c>
      <c r="I768" t="s">
        <v>10995</v>
      </c>
      <c r="J768" t="s">
        <v>10996</v>
      </c>
      <c r="K768" t="s">
        <v>74</v>
      </c>
      <c r="L768" t="s">
        <v>74</v>
      </c>
      <c r="M768" t="s">
        <v>79</v>
      </c>
      <c r="N768" t="s">
        <v>126</v>
      </c>
      <c r="O768" t="s">
        <v>74</v>
      </c>
      <c r="P768" t="s">
        <v>74</v>
      </c>
      <c r="Q768" t="s">
        <v>74</v>
      </c>
      <c r="R768" t="s">
        <v>74</v>
      </c>
      <c r="S768" t="s">
        <v>74</v>
      </c>
      <c r="T768" t="s">
        <v>10997</v>
      </c>
      <c r="U768" t="s">
        <v>10998</v>
      </c>
      <c r="V768" t="s">
        <v>10999</v>
      </c>
      <c r="W768" t="s">
        <v>11000</v>
      </c>
      <c r="X768" t="s">
        <v>11001</v>
      </c>
      <c r="Y768" t="s">
        <v>502</v>
      </c>
      <c r="Z768" t="s">
        <v>3796</v>
      </c>
      <c r="AA768" t="s">
        <v>11002</v>
      </c>
      <c r="AB768" t="s">
        <v>74</v>
      </c>
      <c r="AC768" t="s">
        <v>74</v>
      </c>
      <c r="AD768" t="s">
        <v>74</v>
      </c>
      <c r="AE768" t="s">
        <v>74</v>
      </c>
      <c r="AF768" t="s">
        <v>74</v>
      </c>
      <c r="AG768">
        <v>62</v>
      </c>
      <c r="AH768">
        <v>99</v>
      </c>
      <c r="AI768">
        <v>109</v>
      </c>
      <c r="AJ768">
        <v>2</v>
      </c>
      <c r="AK768">
        <v>43</v>
      </c>
      <c r="AL768" t="s">
        <v>3760</v>
      </c>
      <c r="AM768" t="s">
        <v>3761</v>
      </c>
      <c r="AN768" t="s">
        <v>3762</v>
      </c>
      <c r="AO768" t="s">
        <v>11003</v>
      </c>
      <c r="AP768" t="s">
        <v>11004</v>
      </c>
      <c r="AQ768" t="s">
        <v>74</v>
      </c>
      <c r="AR768" t="s">
        <v>10996</v>
      </c>
      <c r="AS768" t="s">
        <v>11005</v>
      </c>
      <c r="AT768" t="s">
        <v>10473</v>
      </c>
      <c r="AU768">
        <v>2004</v>
      </c>
      <c r="AV768">
        <v>169</v>
      </c>
      <c r="AW768">
        <v>2</v>
      </c>
      <c r="AX768" t="s">
        <v>74</v>
      </c>
      <c r="AY768" t="s">
        <v>74</v>
      </c>
      <c r="AZ768" t="s">
        <v>74</v>
      </c>
      <c r="BA768" t="s">
        <v>74</v>
      </c>
      <c r="BB768">
        <v>300</v>
      </c>
      <c r="BC768">
        <v>310</v>
      </c>
      <c r="BD768" t="s">
        <v>74</v>
      </c>
      <c r="BE768" t="s">
        <v>11006</v>
      </c>
      <c r="BF768" t="str">
        <f>HYPERLINK("http://dx.doi.org/10.1016/j.icarus.2003.12.024","http://dx.doi.org/10.1016/j.icarus.2003.12.024")</f>
        <v>http://dx.doi.org/10.1016/j.icarus.2003.12.024</v>
      </c>
      <c r="BG768" t="s">
        <v>74</v>
      </c>
      <c r="BH768" t="s">
        <v>74</v>
      </c>
      <c r="BI768">
        <v>11</v>
      </c>
      <c r="BJ768" t="s">
        <v>491</v>
      </c>
      <c r="BK768" t="s">
        <v>139</v>
      </c>
      <c r="BL768" t="s">
        <v>491</v>
      </c>
      <c r="BM768" t="s">
        <v>11007</v>
      </c>
      <c r="BN768" t="s">
        <v>74</v>
      </c>
      <c r="BO768" t="s">
        <v>74</v>
      </c>
      <c r="BP768" t="s">
        <v>74</v>
      </c>
      <c r="BQ768" t="s">
        <v>74</v>
      </c>
      <c r="BR768" t="s">
        <v>98</v>
      </c>
      <c r="BS768" t="s">
        <v>11008</v>
      </c>
      <c r="BT768" t="str">
        <f>HYPERLINK("https%3A%2F%2Fwww.webofscience.com%2Fwos%2Fwoscc%2Ffull-record%2FWOS:000221604300002","View Full Record in Web of Science")</f>
        <v>View Full Record in Web of Science</v>
      </c>
    </row>
    <row r="769" spans="1:72" x14ac:dyDescent="0.15">
      <c r="A769" t="s">
        <v>122</v>
      </c>
      <c r="B769" t="s">
        <v>11009</v>
      </c>
      <c r="C769" t="s">
        <v>74</v>
      </c>
      <c r="D769" t="s">
        <v>74</v>
      </c>
      <c r="E769" t="s">
        <v>74</v>
      </c>
      <c r="F769" t="s">
        <v>11009</v>
      </c>
      <c r="G769" t="s">
        <v>74</v>
      </c>
      <c r="H769" t="s">
        <v>74</v>
      </c>
      <c r="I769" t="s">
        <v>11010</v>
      </c>
      <c r="J769" t="s">
        <v>6136</v>
      </c>
      <c r="K769" t="s">
        <v>74</v>
      </c>
      <c r="L769" t="s">
        <v>74</v>
      </c>
      <c r="M769" t="s">
        <v>79</v>
      </c>
      <c r="N769" t="s">
        <v>1129</v>
      </c>
      <c r="O769" t="s">
        <v>11011</v>
      </c>
      <c r="P769" t="s">
        <v>11012</v>
      </c>
      <c r="Q769" t="s">
        <v>11013</v>
      </c>
      <c r="R769" t="s">
        <v>74</v>
      </c>
      <c r="S769" t="s">
        <v>74</v>
      </c>
      <c r="T769" t="s">
        <v>11014</v>
      </c>
      <c r="U769" t="s">
        <v>11015</v>
      </c>
      <c r="V769" t="s">
        <v>11016</v>
      </c>
      <c r="W769" t="s">
        <v>11017</v>
      </c>
      <c r="X769" t="s">
        <v>11018</v>
      </c>
      <c r="Y769" t="s">
        <v>11019</v>
      </c>
      <c r="Z769" t="s">
        <v>1033</v>
      </c>
      <c r="AA769" t="s">
        <v>74</v>
      </c>
      <c r="AB769" t="s">
        <v>11020</v>
      </c>
      <c r="AC769" t="s">
        <v>74</v>
      </c>
      <c r="AD769" t="s">
        <v>74</v>
      </c>
      <c r="AE769" t="s">
        <v>74</v>
      </c>
      <c r="AF769" t="s">
        <v>74</v>
      </c>
      <c r="AG769">
        <v>41</v>
      </c>
      <c r="AH769">
        <v>53</v>
      </c>
      <c r="AI769">
        <v>62</v>
      </c>
      <c r="AJ769">
        <v>0</v>
      </c>
      <c r="AK769">
        <v>7</v>
      </c>
      <c r="AL769" t="s">
        <v>10805</v>
      </c>
      <c r="AM769" t="s">
        <v>375</v>
      </c>
      <c r="AN769" t="s">
        <v>885</v>
      </c>
      <c r="AO769" t="s">
        <v>6144</v>
      </c>
      <c r="AP769" t="s">
        <v>74</v>
      </c>
      <c r="AQ769" t="s">
        <v>74</v>
      </c>
      <c r="AR769" t="s">
        <v>6146</v>
      </c>
      <c r="AS769" t="s">
        <v>6147</v>
      </c>
      <c r="AT769" t="s">
        <v>10473</v>
      </c>
      <c r="AU769">
        <v>2004</v>
      </c>
      <c r="AV769">
        <v>61</v>
      </c>
      <c r="AW769">
        <v>4</v>
      </c>
      <c r="AX769" t="s">
        <v>74</v>
      </c>
      <c r="AY769" t="s">
        <v>74</v>
      </c>
      <c r="AZ769" t="s">
        <v>74</v>
      </c>
      <c r="BA769" t="s">
        <v>74</v>
      </c>
      <c r="BB769">
        <v>617</v>
      </c>
      <c r="BC769">
        <v>631</v>
      </c>
      <c r="BD769" t="s">
        <v>74</v>
      </c>
      <c r="BE769" t="s">
        <v>11021</v>
      </c>
      <c r="BF769" t="str">
        <f>HYPERLINK("http://dx.doi.org/10.1016/j.icesjms.2004.03.028","http://dx.doi.org/10.1016/j.icesjms.2004.03.028")</f>
        <v>http://dx.doi.org/10.1016/j.icesjms.2004.03.028</v>
      </c>
      <c r="BG769" t="s">
        <v>74</v>
      </c>
      <c r="BH769" t="s">
        <v>74</v>
      </c>
      <c r="BI769">
        <v>15</v>
      </c>
      <c r="BJ769" t="s">
        <v>6149</v>
      </c>
      <c r="BK769" t="s">
        <v>1150</v>
      </c>
      <c r="BL769" t="s">
        <v>6149</v>
      </c>
      <c r="BM769" t="s">
        <v>11022</v>
      </c>
      <c r="BN769" t="s">
        <v>74</v>
      </c>
      <c r="BO769" t="s">
        <v>207</v>
      </c>
      <c r="BP769" t="s">
        <v>74</v>
      </c>
      <c r="BQ769" t="s">
        <v>74</v>
      </c>
      <c r="BR769" t="s">
        <v>98</v>
      </c>
      <c r="BS769" t="s">
        <v>11023</v>
      </c>
      <c r="BT769" t="str">
        <f>HYPERLINK("https%3A%2F%2Fwww.webofscience.com%2Fwos%2Fwoscc%2Ffull-record%2FWOS:000222322500019","View Full Record in Web of Science")</f>
        <v>View Full Record in Web of Science</v>
      </c>
    </row>
    <row r="770" spans="1:72" x14ac:dyDescent="0.15">
      <c r="A770" t="s">
        <v>122</v>
      </c>
      <c r="B770" t="s">
        <v>11024</v>
      </c>
      <c r="C770" t="s">
        <v>74</v>
      </c>
      <c r="D770" t="s">
        <v>74</v>
      </c>
      <c r="E770" t="s">
        <v>74</v>
      </c>
      <c r="F770" t="s">
        <v>11024</v>
      </c>
      <c r="G770" t="s">
        <v>74</v>
      </c>
      <c r="H770" t="s">
        <v>74</v>
      </c>
      <c r="I770" t="s">
        <v>11025</v>
      </c>
      <c r="J770" t="s">
        <v>6136</v>
      </c>
      <c r="K770" t="s">
        <v>74</v>
      </c>
      <c r="L770" t="s">
        <v>74</v>
      </c>
      <c r="M770" t="s">
        <v>79</v>
      </c>
      <c r="N770" t="s">
        <v>1129</v>
      </c>
      <c r="O770" t="s">
        <v>11011</v>
      </c>
      <c r="P770" t="s">
        <v>11012</v>
      </c>
      <c r="Q770" t="s">
        <v>11013</v>
      </c>
      <c r="R770" t="s">
        <v>74</v>
      </c>
      <c r="S770" t="s">
        <v>74</v>
      </c>
      <c r="T770" t="s">
        <v>11026</v>
      </c>
      <c r="U770" t="s">
        <v>11027</v>
      </c>
      <c r="V770" t="s">
        <v>11028</v>
      </c>
      <c r="W770" t="s">
        <v>11029</v>
      </c>
      <c r="X770" t="s">
        <v>11030</v>
      </c>
      <c r="Y770" t="s">
        <v>11031</v>
      </c>
      <c r="Z770" t="s">
        <v>74</v>
      </c>
      <c r="AA770" t="s">
        <v>74</v>
      </c>
      <c r="AB770" t="s">
        <v>74</v>
      </c>
      <c r="AC770" t="s">
        <v>74</v>
      </c>
      <c r="AD770" t="s">
        <v>74</v>
      </c>
      <c r="AE770" t="s">
        <v>74</v>
      </c>
      <c r="AF770" t="s">
        <v>74</v>
      </c>
      <c r="AG770">
        <v>31</v>
      </c>
      <c r="AH770">
        <v>21</v>
      </c>
      <c r="AI770">
        <v>23</v>
      </c>
      <c r="AJ770">
        <v>0</v>
      </c>
      <c r="AK770">
        <v>18</v>
      </c>
      <c r="AL770" t="s">
        <v>10805</v>
      </c>
      <c r="AM770" t="s">
        <v>375</v>
      </c>
      <c r="AN770" t="s">
        <v>885</v>
      </c>
      <c r="AO770" t="s">
        <v>6144</v>
      </c>
      <c r="AP770" t="s">
        <v>74</v>
      </c>
      <c r="AQ770" t="s">
        <v>74</v>
      </c>
      <c r="AR770" t="s">
        <v>6146</v>
      </c>
      <c r="AS770" t="s">
        <v>6147</v>
      </c>
      <c r="AT770" t="s">
        <v>10473</v>
      </c>
      <c r="AU770">
        <v>2004</v>
      </c>
      <c r="AV770">
        <v>61</v>
      </c>
      <c r="AW770">
        <v>4</v>
      </c>
      <c r="AX770" t="s">
        <v>74</v>
      </c>
      <c r="AY770" t="s">
        <v>74</v>
      </c>
      <c r="AZ770" t="s">
        <v>74</v>
      </c>
      <c r="BA770" t="s">
        <v>74</v>
      </c>
      <c r="BB770">
        <v>721</v>
      </c>
      <c r="BC770">
        <v>737</v>
      </c>
      <c r="BD770" t="s">
        <v>74</v>
      </c>
      <c r="BE770" t="s">
        <v>11032</v>
      </c>
      <c r="BF770" t="str">
        <f>HYPERLINK("http://dx.doi.org/10.1016/j.icesjms.2004.03.008","http://dx.doi.org/10.1016/j.icesjms.2004.03.008")</f>
        <v>http://dx.doi.org/10.1016/j.icesjms.2004.03.008</v>
      </c>
      <c r="BG770" t="s">
        <v>74</v>
      </c>
      <c r="BH770" t="s">
        <v>74</v>
      </c>
      <c r="BI770">
        <v>17</v>
      </c>
      <c r="BJ770" t="s">
        <v>6149</v>
      </c>
      <c r="BK770" t="s">
        <v>1150</v>
      </c>
      <c r="BL770" t="s">
        <v>6149</v>
      </c>
      <c r="BM770" t="s">
        <v>11022</v>
      </c>
      <c r="BN770" t="s">
        <v>74</v>
      </c>
      <c r="BO770" t="s">
        <v>273</v>
      </c>
      <c r="BP770" t="s">
        <v>74</v>
      </c>
      <c r="BQ770" t="s">
        <v>74</v>
      </c>
      <c r="BR770" t="s">
        <v>98</v>
      </c>
      <c r="BS770" t="s">
        <v>11033</v>
      </c>
      <c r="BT770" t="str">
        <f>HYPERLINK("https%3A%2F%2Fwww.webofscience.com%2Fwos%2Fwoscc%2Ffull-record%2FWOS:000222322500028","View Full Record in Web of Science")</f>
        <v>View Full Record in Web of Science</v>
      </c>
    </row>
    <row r="771" spans="1:72" x14ac:dyDescent="0.15">
      <c r="A771" t="s">
        <v>122</v>
      </c>
      <c r="B771" t="s">
        <v>11034</v>
      </c>
      <c r="C771" t="s">
        <v>74</v>
      </c>
      <c r="D771" t="s">
        <v>74</v>
      </c>
      <c r="E771" t="s">
        <v>74</v>
      </c>
      <c r="F771" t="s">
        <v>11034</v>
      </c>
      <c r="G771" t="s">
        <v>74</v>
      </c>
      <c r="H771" t="s">
        <v>74</v>
      </c>
      <c r="I771" t="s">
        <v>11035</v>
      </c>
      <c r="J771" t="s">
        <v>11036</v>
      </c>
      <c r="K771" t="s">
        <v>74</v>
      </c>
      <c r="L771" t="s">
        <v>74</v>
      </c>
      <c r="M771" t="s">
        <v>79</v>
      </c>
      <c r="N771" t="s">
        <v>126</v>
      </c>
      <c r="O771" t="s">
        <v>74</v>
      </c>
      <c r="P771" t="s">
        <v>74</v>
      </c>
      <c r="Q771" t="s">
        <v>74</v>
      </c>
      <c r="R771" t="s">
        <v>74</v>
      </c>
      <c r="S771" t="s">
        <v>74</v>
      </c>
      <c r="T771" t="s">
        <v>74</v>
      </c>
      <c r="U771" t="s">
        <v>74</v>
      </c>
      <c r="V771" t="s">
        <v>11037</v>
      </c>
      <c r="W771" t="s">
        <v>747</v>
      </c>
      <c r="X771" t="s">
        <v>748</v>
      </c>
      <c r="Y771" t="s">
        <v>2548</v>
      </c>
      <c r="Z771" t="s">
        <v>3796</v>
      </c>
      <c r="AA771" t="s">
        <v>74</v>
      </c>
      <c r="AB771" t="s">
        <v>74</v>
      </c>
      <c r="AC771" t="s">
        <v>11038</v>
      </c>
      <c r="AD771" t="s">
        <v>11039</v>
      </c>
      <c r="AE771" t="s">
        <v>74</v>
      </c>
      <c r="AF771" t="s">
        <v>74</v>
      </c>
      <c r="AG771">
        <v>9</v>
      </c>
      <c r="AH771">
        <v>17</v>
      </c>
      <c r="AI771">
        <v>20</v>
      </c>
      <c r="AJ771">
        <v>0</v>
      </c>
      <c r="AK771">
        <v>8</v>
      </c>
      <c r="AL771" t="s">
        <v>11040</v>
      </c>
      <c r="AM771" t="s">
        <v>1645</v>
      </c>
      <c r="AN771" t="s">
        <v>11041</v>
      </c>
      <c r="AO771" t="s">
        <v>11042</v>
      </c>
      <c r="AP771" t="s">
        <v>11043</v>
      </c>
      <c r="AQ771" t="s">
        <v>74</v>
      </c>
      <c r="AR771" t="s">
        <v>11044</v>
      </c>
      <c r="AS771" t="s">
        <v>11045</v>
      </c>
      <c r="AT771" t="s">
        <v>10473</v>
      </c>
      <c r="AU771">
        <v>2004</v>
      </c>
      <c r="AV771">
        <v>29</v>
      </c>
      <c r="AW771">
        <v>2</v>
      </c>
      <c r="AX771" t="s">
        <v>74</v>
      </c>
      <c r="AY771" t="s">
        <v>74</v>
      </c>
      <c r="AZ771" t="s">
        <v>74</v>
      </c>
      <c r="BA771" t="s">
        <v>74</v>
      </c>
      <c r="BB771">
        <v>141</v>
      </c>
      <c r="BC771">
        <v>150</v>
      </c>
      <c r="BD771" t="s">
        <v>74</v>
      </c>
      <c r="BE771" t="s">
        <v>11046</v>
      </c>
      <c r="BF771" t="str">
        <f>HYPERLINK("http://dx.doi.org/10.1179/030801804225012635","http://dx.doi.org/10.1179/030801804225012635")</f>
        <v>http://dx.doi.org/10.1179/030801804225012635</v>
      </c>
      <c r="BG771" t="s">
        <v>74</v>
      </c>
      <c r="BH771" t="s">
        <v>74</v>
      </c>
      <c r="BI771">
        <v>10</v>
      </c>
      <c r="BJ771" t="s">
        <v>11047</v>
      </c>
      <c r="BK771" t="s">
        <v>2950</v>
      </c>
      <c r="BL771" t="s">
        <v>11048</v>
      </c>
      <c r="BM771" t="s">
        <v>11049</v>
      </c>
      <c r="BN771" t="s">
        <v>74</v>
      </c>
      <c r="BO771" t="s">
        <v>74</v>
      </c>
      <c r="BP771" t="s">
        <v>74</v>
      </c>
      <c r="BQ771" t="s">
        <v>74</v>
      </c>
      <c r="BR771" t="s">
        <v>98</v>
      </c>
      <c r="BS771" t="s">
        <v>11050</v>
      </c>
      <c r="BT771" t="str">
        <f>HYPERLINK("https%3A%2F%2Fwww.webofscience.com%2Fwos%2Fwoscc%2Ffull-record%2FWOS:000223308100005","View Full Record in Web of Science")</f>
        <v>View Full Record in Web of Science</v>
      </c>
    </row>
    <row r="772" spans="1:72" x14ac:dyDescent="0.15">
      <c r="A772" t="s">
        <v>122</v>
      </c>
      <c r="B772" t="s">
        <v>11051</v>
      </c>
      <c r="C772" t="s">
        <v>74</v>
      </c>
      <c r="D772" t="s">
        <v>74</v>
      </c>
      <c r="E772" t="s">
        <v>74</v>
      </c>
      <c r="F772" t="s">
        <v>11051</v>
      </c>
      <c r="G772" t="s">
        <v>74</v>
      </c>
      <c r="H772" t="s">
        <v>74</v>
      </c>
      <c r="I772" t="s">
        <v>11052</v>
      </c>
      <c r="J772" t="s">
        <v>11053</v>
      </c>
      <c r="K772" t="s">
        <v>74</v>
      </c>
      <c r="L772" t="s">
        <v>74</v>
      </c>
      <c r="M772" t="s">
        <v>79</v>
      </c>
      <c r="N772" t="s">
        <v>918</v>
      </c>
      <c r="O772" t="s">
        <v>74</v>
      </c>
      <c r="P772" t="s">
        <v>74</v>
      </c>
      <c r="Q772" t="s">
        <v>74</v>
      </c>
      <c r="R772" t="s">
        <v>74</v>
      </c>
      <c r="S772" t="s">
        <v>74</v>
      </c>
      <c r="T772" t="s">
        <v>11054</v>
      </c>
      <c r="U772" t="s">
        <v>11055</v>
      </c>
      <c r="V772" t="s">
        <v>11056</v>
      </c>
      <c r="W772" t="s">
        <v>11057</v>
      </c>
      <c r="X772" t="s">
        <v>11058</v>
      </c>
      <c r="Y772" t="s">
        <v>11059</v>
      </c>
      <c r="Z772" t="s">
        <v>11060</v>
      </c>
      <c r="AA772" t="s">
        <v>2535</v>
      </c>
      <c r="AB772" t="s">
        <v>11061</v>
      </c>
      <c r="AC772" t="s">
        <v>74</v>
      </c>
      <c r="AD772" t="s">
        <v>74</v>
      </c>
      <c r="AE772" t="s">
        <v>74</v>
      </c>
      <c r="AF772" t="s">
        <v>74</v>
      </c>
      <c r="AG772">
        <v>10</v>
      </c>
      <c r="AH772">
        <v>17</v>
      </c>
      <c r="AI772">
        <v>19</v>
      </c>
      <c r="AJ772">
        <v>0</v>
      </c>
      <c r="AK772">
        <v>16</v>
      </c>
      <c r="AL772" t="s">
        <v>11062</v>
      </c>
      <c r="AM772" t="s">
        <v>197</v>
      </c>
      <c r="AN772" t="s">
        <v>11063</v>
      </c>
      <c r="AO772" t="s">
        <v>11064</v>
      </c>
      <c r="AP772" t="s">
        <v>74</v>
      </c>
      <c r="AQ772" t="s">
        <v>74</v>
      </c>
      <c r="AR772" t="s">
        <v>11065</v>
      </c>
      <c r="AS772" t="s">
        <v>11066</v>
      </c>
      <c r="AT772" t="s">
        <v>10473</v>
      </c>
      <c r="AU772">
        <v>2004</v>
      </c>
      <c r="AV772">
        <v>6</v>
      </c>
      <c r="AW772">
        <v>2</v>
      </c>
      <c r="AX772" t="s">
        <v>74</v>
      </c>
      <c r="AY772" t="s">
        <v>74</v>
      </c>
      <c r="AZ772" t="s">
        <v>74</v>
      </c>
      <c r="BA772" t="s">
        <v>74</v>
      </c>
      <c r="BB772">
        <v>181</v>
      </c>
      <c r="BC772">
        <v>186</v>
      </c>
      <c r="BD772" t="s">
        <v>74</v>
      </c>
      <c r="BE772" t="s">
        <v>11067</v>
      </c>
      <c r="BF772" t="str">
        <f>HYPERLINK("http://dx.doi.org/10.1505/ifor.6.2.181.38391","http://dx.doi.org/10.1505/ifor.6.2.181.38391")</f>
        <v>http://dx.doi.org/10.1505/ifor.6.2.181.38391</v>
      </c>
      <c r="BG772" t="s">
        <v>74</v>
      </c>
      <c r="BH772" t="s">
        <v>74</v>
      </c>
      <c r="BI772">
        <v>6</v>
      </c>
      <c r="BJ772" t="s">
        <v>11068</v>
      </c>
      <c r="BK772" t="s">
        <v>139</v>
      </c>
      <c r="BL772" t="s">
        <v>11068</v>
      </c>
      <c r="BM772" t="s">
        <v>11069</v>
      </c>
      <c r="BN772" t="s">
        <v>74</v>
      </c>
      <c r="BO772" t="s">
        <v>74</v>
      </c>
      <c r="BP772" t="s">
        <v>74</v>
      </c>
      <c r="BQ772" t="s">
        <v>74</v>
      </c>
      <c r="BR772" t="s">
        <v>98</v>
      </c>
      <c r="BS772" t="s">
        <v>11070</v>
      </c>
      <c r="BT772" t="str">
        <f>HYPERLINK("https%3A%2F%2Fwww.webofscience.com%2Fwos%2Fwoscc%2Ffull-record%2FWOS:000222761800010","View Full Record in Web of Science")</f>
        <v>View Full Record in Web of Science</v>
      </c>
    </row>
    <row r="773" spans="1:72" x14ac:dyDescent="0.15">
      <c r="A773" t="s">
        <v>122</v>
      </c>
      <c r="B773" t="s">
        <v>11071</v>
      </c>
      <c r="C773" t="s">
        <v>74</v>
      </c>
      <c r="D773" t="s">
        <v>74</v>
      </c>
      <c r="E773" t="s">
        <v>74</v>
      </c>
      <c r="F773" t="s">
        <v>11071</v>
      </c>
      <c r="G773" t="s">
        <v>74</v>
      </c>
      <c r="H773" t="s">
        <v>74</v>
      </c>
      <c r="I773" t="s">
        <v>11072</v>
      </c>
      <c r="J773" t="s">
        <v>11073</v>
      </c>
      <c r="K773" t="s">
        <v>74</v>
      </c>
      <c r="L773" t="s">
        <v>74</v>
      </c>
      <c r="M773" t="s">
        <v>79</v>
      </c>
      <c r="N773" t="s">
        <v>126</v>
      </c>
      <c r="O773" t="s">
        <v>74</v>
      </c>
      <c r="P773" t="s">
        <v>74</v>
      </c>
      <c r="Q773" t="s">
        <v>74</v>
      </c>
      <c r="R773" t="s">
        <v>74</v>
      </c>
      <c r="S773" t="s">
        <v>74</v>
      </c>
      <c r="T773" t="s">
        <v>11074</v>
      </c>
      <c r="U773" t="s">
        <v>11075</v>
      </c>
      <c r="V773" t="s">
        <v>11076</v>
      </c>
      <c r="W773" t="s">
        <v>11077</v>
      </c>
      <c r="X773" t="s">
        <v>7550</v>
      </c>
      <c r="Y773" t="s">
        <v>74</v>
      </c>
      <c r="Z773" t="s">
        <v>11078</v>
      </c>
      <c r="AA773" t="s">
        <v>11079</v>
      </c>
      <c r="AB773" t="s">
        <v>11080</v>
      </c>
      <c r="AC773" t="s">
        <v>74</v>
      </c>
      <c r="AD773" t="s">
        <v>74</v>
      </c>
      <c r="AE773" t="s">
        <v>74</v>
      </c>
      <c r="AF773" t="s">
        <v>74</v>
      </c>
      <c r="AG773">
        <v>22</v>
      </c>
      <c r="AH773">
        <v>195</v>
      </c>
      <c r="AI773">
        <v>215</v>
      </c>
      <c r="AJ773">
        <v>0</v>
      </c>
      <c r="AK773">
        <v>53</v>
      </c>
      <c r="AL773" t="s">
        <v>1509</v>
      </c>
      <c r="AM773" t="s">
        <v>613</v>
      </c>
      <c r="AN773" t="s">
        <v>1948</v>
      </c>
      <c r="AO773" t="s">
        <v>11081</v>
      </c>
      <c r="AP773" t="s">
        <v>11082</v>
      </c>
      <c r="AQ773" t="s">
        <v>74</v>
      </c>
      <c r="AR773" t="s">
        <v>11083</v>
      </c>
      <c r="AS773" t="s">
        <v>11084</v>
      </c>
      <c r="AT773" t="s">
        <v>10473</v>
      </c>
      <c r="AU773">
        <v>2004</v>
      </c>
      <c r="AV773">
        <v>9</v>
      </c>
      <c r="AW773">
        <v>2</v>
      </c>
      <c r="AX773" t="s">
        <v>74</v>
      </c>
      <c r="AY773" t="s">
        <v>74</v>
      </c>
      <c r="AZ773" t="s">
        <v>74</v>
      </c>
      <c r="BA773" t="s">
        <v>74</v>
      </c>
      <c r="BB773">
        <v>181</v>
      </c>
      <c r="BC773">
        <v>199</v>
      </c>
      <c r="BD773" t="s">
        <v>74</v>
      </c>
      <c r="BE773" t="s">
        <v>11085</v>
      </c>
      <c r="BF773" t="str">
        <f>HYPERLINK("http://dx.doi.org/10.1198/1085711043578","http://dx.doi.org/10.1198/1085711043578")</f>
        <v>http://dx.doi.org/10.1198/1085711043578</v>
      </c>
      <c r="BG773" t="s">
        <v>74</v>
      </c>
      <c r="BH773" t="s">
        <v>74</v>
      </c>
      <c r="BI773">
        <v>19</v>
      </c>
      <c r="BJ773" t="s">
        <v>11086</v>
      </c>
      <c r="BK773" t="s">
        <v>139</v>
      </c>
      <c r="BL773" t="s">
        <v>11087</v>
      </c>
      <c r="BM773" t="s">
        <v>11088</v>
      </c>
      <c r="BN773" t="s">
        <v>74</v>
      </c>
      <c r="BO773" t="s">
        <v>74</v>
      </c>
      <c r="BP773" t="s">
        <v>74</v>
      </c>
      <c r="BQ773" t="s">
        <v>74</v>
      </c>
      <c r="BR773" t="s">
        <v>98</v>
      </c>
      <c r="BS773" t="s">
        <v>11089</v>
      </c>
      <c r="BT773" t="str">
        <f>HYPERLINK("https%3A%2F%2Fwww.webofscience.com%2Fwos%2Fwoscc%2Ffull-record%2FWOS:000222118800004","View Full Record in Web of Science")</f>
        <v>View Full Record in Web of Science</v>
      </c>
    </row>
    <row r="774" spans="1:72" x14ac:dyDescent="0.15">
      <c r="A774" t="s">
        <v>122</v>
      </c>
      <c r="B774" t="s">
        <v>11090</v>
      </c>
      <c r="C774" t="s">
        <v>74</v>
      </c>
      <c r="D774" t="s">
        <v>74</v>
      </c>
      <c r="E774" t="s">
        <v>74</v>
      </c>
      <c r="F774" t="s">
        <v>11090</v>
      </c>
      <c r="G774" t="s">
        <v>74</v>
      </c>
      <c r="H774" t="s">
        <v>74</v>
      </c>
      <c r="I774" t="s">
        <v>11091</v>
      </c>
      <c r="J774" t="s">
        <v>1562</v>
      </c>
      <c r="K774" t="s">
        <v>74</v>
      </c>
      <c r="L774" t="s">
        <v>74</v>
      </c>
      <c r="M774" t="s">
        <v>79</v>
      </c>
      <c r="N774" t="s">
        <v>126</v>
      </c>
      <c r="O774" t="s">
        <v>74</v>
      </c>
      <c r="P774" t="s">
        <v>74</v>
      </c>
      <c r="Q774" t="s">
        <v>74</v>
      </c>
      <c r="R774" t="s">
        <v>74</v>
      </c>
      <c r="S774" t="s">
        <v>74</v>
      </c>
      <c r="T774" t="s">
        <v>74</v>
      </c>
      <c r="U774" t="s">
        <v>11092</v>
      </c>
      <c r="V774" t="s">
        <v>11093</v>
      </c>
      <c r="W774" t="s">
        <v>11094</v>
      </c>
      <c r="X774" t="s">
        <v>4591</v>
      </c>
      <c r="Y774" t="s">
        <v>11095</v>
      </c>
      <c r="Z774" t="s">
        <v>11096</v>
      </c>
      <c r="AA774" t="s">
        <v>74</v>
      </c>
      <c r="AB774" t="s">
        <v>74</v>
      </c>
      <c r="AC774" t="s">
        <v>74</v>
      </c>
      <c r="AD774" t="s">
        <v>74</v>
      </c>
      <c r="AE774" t="s">
        <v>74</v>
      </c>
      <c r="AF774" t="s">
        <v>74</v>
      </c>
      <c r="AG774">
        <v>52</v>
      </c>
      <c r="AH774">
        <v>116</v>
      </c>
      <c r="AI774">
        <v>135</v>
      </c>
      <c r="AJ774">
        <v>0</v>
      </c>
      <c r="AK774">
        <v>23</v>
      </c>
      <c r="AL774" t="s">
        <v>1571</v>
      </c>
      <c r="AM774" t="s">
        <v>1572</v>
      </c>
      <c r="AN774" t="s">
        <v>1573</v>
      </c>
      <c r="AO774" t="s">
        <v>1574</v>
      </c>
      <c r="AP774" t="s">
        <v>1575</v>
      </c>
      <c r="AQ774" t="s">
        <v>74</v>
      </c>
      <c r="AR774" t="s">
        <v>1576</v>
      </c>
      <c r="AS774" t="s">
        <v>1577</v>
      </c>
      <c r="AT774" t="s">
        <v>10473</v>
      </c>
      <c r="AU774">
        <v>2004</v>
      </c>
      <c r="AV774">
        <v>17</v>
      </c>
      <c r="AW774">
        <v>11</v>
      </c>
      <c r="AX774" t="s">
        <v>74</v>
      </c>
      <c r="AY774" t="s">
        <v>74</v>
      </c>
      <c r="AZ774" t="s">
        <v>74</v>
      </c>
      <c r="BA774" t="s">
        <v>74</v>
      </c>
      <c r="BB774">
        <v>2170</v>
      </c>
      <c r="BC774">
        <v>2179</v>
      </c>
      <c r="BD774" t="s">
        <v>74</v>
      </c>
      <c r="BE774" t="s">
        <v>11097</v>
      </c>
      <c r="BF774" t="str">
        <f>HYPERLINK("http://dx.doi.org/10.1175/1520-0442(2004)017&lt;2170:TYCITS&gt;2.0.CO;2","http://dx.doi.org/10.1175/1520-0442(2004)017&lt;2170:TYCITS&gt;2.0.CO;2")</f>
        <v>http://dx.doi.org/10.1175/1520-0442(2004)017&lt;2170:TYCITS&gt;2.0.CO;2</v>
      </c>
      <c r="BG774" t="s">
        <v>74</v>
      </c>
      <c r="BH774" t="s">
        <v>74</v>
      </c>
      <c r="BI774">
        <v>10</v>
      </c>
      <c r="BJ774" t="s">
        <v>291</v>
      </c>
      <c r="BK774" t="s">
        <v>139</v>
      </c>
      <c r="BL774" t="s">
        <v>291</v>
      </c>
      <c r="BM774" t="s">
        <v>11098</v>
      </c>
      <c r="BN774" t="s">
        <v>74</v>
      </c>
      <c r="BO774" t="s">
        <v>74</v>
      </c>
      <c r="BP774" t="s">
        <v>74</v>
      </c>
      <c r="BQ774" t="s">
        <v>74</v>
      </c>
      <c r="BR774" t="s">
        <v>98</v>
      </c>
      <c r="BS774" t="s">
        <v>11099</v>
      </c>
      <c r="BT774" t="str">
        <f>HYPERLINK("https%3A%2F%2Fwww.webofscience.com%2Fwos%2Fwoscc%2Ffull-record%2FWOS:000221758000009","View Full Record in Web of Science")</f>
        <v>View Full Record in Web of Science</v>
      </c>
    </row>
    <row r="775" spans="1:72" x14ac:dyDescent="0.15">
      <c r="A775" t="s">
        <v>122</v>
      </c>
      <c r="B775" t="s">
        <v>11100</v>
      </c>
      <c r="C775" t="s">
        <v>74</v>
      </c>
      <c r="D775" t="s">
        <v>74</v>
      </c>
      <c r="E775" t="s">
        <v>74</v>
      </c>
      <c r="F775" t="s">
        <v>11100</v>
      </c>
      <c r="G775" t="s">
        <v>74</v>
      </c>
      <c r="H775" t="s">
        <v>74</v>
      </c>
      <c r="I775" t="s">
        <v>11101</v>
      </c>
      <c r="J775" t="s">
        <v>1562</v>
      </c>
      <c r="K775" t="s">
        <v>74</v>
      </c>
      <c r="L775" t="s">
        <v>74</v>
      </c>
      <c r="M775" t="s">
        <v>79</v>
      </c>
      <c r="N775" t="s">
        <v>918</v>
      </c>
      <c r="O775" t="s">
        <v>74</v>
      </c>
      <c r="P775" t="s">
        <v>74</v>
      </c>
      <c r="Q775" t="s">
        <v>74</v>
      </c>
      <c r="R775" t="s">
        <v>74</v>
      </c>
      <c r="S775" t="s">
        <v>74</v>
      </c>
      <c r="T775" t="s">
        <v>74</v>
      </c>
      <c r="U775" t="s">
        <v>11102</v>
      </c>
      <c r="V775" t="s">
        <v>74</v>
      </c>
      <c r="W775" t="s">
        <v>10101</v>
      </c>
      <c r="X775" t="s">
        <v>4970</v>
      </c>
      <c r="Y775" t="s">
        <v>11103</v>
      </c>
      <c r="Z775" t="s">
        <v>9202</v>
      </c>
      <c r="AA775" t="s">
        <v>74</v>
      </c>
      <c r="AB775" t="s">
        <v>74</v>
      </c>
      <c r="AC775" t="s">
        <v>74</v>
      </c>
      <c r="AD775" t="s">
        <v>74</v>
      </c>
      <c r="AE775" t="s">
        <v>74</v>
      </c>
      <c r="AF775" t="s">
        <v>74</v>
      </c>
      <c r="AG775">
        <v>18</v>
      </c>
      <c r="AH775">
        <v>13</v>
      </c>
      <c r="AI775">
        <v>14</v>
      </c>
      <c r="AJ775">
        <v>0</v>
      </c>
      <c r="AK775">
        <v>4</v>
      </c>
      <c r="AL775" t="s">
        <v>1571</v>
      </c>
      <c r="AM775" t="s">
        <v>1572</v>
      </c>
      <c r="AN775" t="s">
        <v>1573</v>
      </c>
      <c r="AO775" t="s">
        <v>1574</v>
      </c>
      <c r="AP775" t="s">
        <v>74</v>
      </c>
      <c r="AQ775" t="s">
        <v>74</v>
      </c>
      <c r="AR775" t="s">
        <v>1576</v>
      </c>
      <c r="AS775" t="s">
        <v>1577</v>
      </c>
      <c r="AT775" t="s">
        <v>10473</v>
      </c>
      <c r="AU775">
        <v>2004</v>
      </c>
      <c r="AV775">
        <v>17</v>
      </c>
      <c r="AW775">
        <v>11</v>
      </c>
      <c r="AX775" t="s">
        <v>74</v>
      </c>
      <c r="AY775" t="s">
        <v>74</v>
      </c>
      <c r="AZ775" t="s">
        <v>74</v>
      </c>
      <c r="BA775" t="s">
        <v>74</v>
      </c>
      <c r="BB775">
        <v>2249</v>
      </c>
      <c r="BC775">
        <v>2254</v>
      </c>
      <c r="BD775" t="s">
        <v>74</v>
      </c>
      <c r="BE775" t="s">
        <v>11104</v>
      </c>
      <c r="BF775" t="str">
        <f>HYPERLINK("http://dx.doi.org/10.1175/1520-0442(2004)017&lt;2249:COSVIT&gt;2.0.CO;2","http://dx.doi.org/10.1175/1520-0442(2004)017&lt;2249:COSVIT&gt;2.0.CO;2")</f>
        <v>http://dx.doi.org/10.1175/1520-0442(2004)017&lt;2249:COSVIT&gt;2.0.CO;2</v>
      </c>
      <c r="BG775" t="s">
        <v>74</v>
      </c>
      <c r="BH775" t="s">
        <v>74</v>
      </c>
      <c r="BI775">
        <v>6</v>
      </c>
      <c r="BJ775" t="s">
        <v>291</v>
      </c>
      <c r="BK775" t="s">
        <v>139</v>
      </c>
      <c r="BL775" t="s">
        <v>291</v>
      </c>
      <c r="BM775" t="s">
        <v>11098</v>
      </c>
      <c r="BN775" t="s">
        <v>74</v>
      </c>
      <c r="BO775" t="s">
        <v>2236</v>
      </c>
      <c r="BP775" t="s">
        <v>74</v>
      </c>
      <c r="BQ775" t="s">
        <v>74</v>
      </c>
      <c r="BR775" t="s">
        <v>98</v>
      </c>
      <c r="BS775" t="s">
        <v>11105</v>
      </c>
      <c r="BT775" t="str">
        <f>HYPERLINK("https%3A%2F%2Fwww.webofscience.com%2Fwos%2Fwoscc%2Ffull-record%2FWOS:000221758000015","View Full Record in Web of Science")</f>
        <v>View Full Record in Web of Science</v>
      </c>
    </row>
    <row r="776" spans="1:72" x14ac:dyDescent="0.15">
      <c r="A776" t="s">
        <v>122</v>
      </c>
      <c r="B776" t="s">
        <v>11106</v>
      </c>
      <c r="C776" t="s">
        <v>74</v>
      </c>
      <c r="D776" t="s">
        <v>74</v>
      </c>
      <c r="E776" t="s">
        <v>74</v>
      </c>
      <c r="F776" t="s">
        <v>11106</v>
      </c>
      <c r="G776" t="s">
        <v>74</v>
      </c>
      <c r="H776" t="s">
        <v>74</v>
      </c>
      <c r="I776" t="s">
        <v>11107</v>
      </c>
      <c r="J776" t="s">
        <v>1595</v>
      </c>
      <c r="K776" t="s">
        <v>74</v>
      </c>
      <c r="L776" t="s">
        <v>74</v>
      </c>
      <c r="M776" t="s">
        <v>79</v>
      </c>
      <c r="N776" t="s">
        <v>126</v>
      </c>
      <c r="O776" t="s">
        <v>74</v>
      </c>
      <c r="P776" t="s">
        <v>74</v>
      </c>
      <c r="Q776" t="s">
        <v>74</v>
      </c>
      <c r="R776" t="s">
        <v>74</v>
      </c>
      <c r="S776" t="s">
        <v>74</v>
      </c>
      <c r="T776" t="s">
        <v>11108</v>
      </c>
      <c r="U776" t="s">
        <v>11109</v>
      </c>
      <c r="V776" t="s">
        <v>11110</v>
      </c>
      <c r="W776" t="s">
        <v>11111</v>
      </c>
      <c r="X776" t="s">
        <v>548</v>
      </c>
      <c r="Y776" t="s">
        <v>11112</v>
      </c>
      <c r="Z776" t="s">
        <v>11113</v>
      </c>
      <c r="AA776" t="s">
        <v>11114</v>
      </c>
      <c r="AB776" t="s">
        <v>11115</v>
      </c>
      <c r="AC776" t="s">
        <v>74</v>
      </c>
      <c r="AD776" t="s">
        <v>74</v>
      </c>
      <c r="AE776" t="s">
        <v>74</v>
      </c>
      <c r="AF776" t="s">
        <v>74</v>
      </c>
      <c r="AG776">
        <v>37</v>
      </c>
      <c r="AH776">
        <v>86</v>
      </c>
      <c r="AI776">
        <v>94</v>
      </c>
      <c r="AJ776">
        <v>1</v>
      </c>
      <c r="AK776">
        <v>24</v>
      </c>
      <c r="AL776" t="s">
        <v>4607</v>
      </c>
      <c r="AM776" t="s">
        <v>1604</v>
      </c>
      <c r="AN776" t="s">
        <v>4608</v>
      </c>
      <c r="AO776" t="s">
        <v>1606</v>
      </c>
      <c r="AP776" t="s">
        <v>1607</v>
      </c>
      <c r="AQ776" t="s">
        <v>74</v>
      </c>
      <c r="AR776" t="s">
        <v>1608</v>
      </c>
      <c r="AS776" t="s">
        <v>1609</v>
      </c>
      <c r="AT776" t="s">
        <v>10473</v>
      </c>
      <c r="AU776">
        <v>2004</v>
      </c>
      <c r="AV776">
        <v>207</v>
      </c>
      <c r="AW776">
        <v>14</v>
      </c>
      <c r="AX776" t="s">
        <v>74</v>
      </c>
      <c r="AY776" t="s">
        <v>74</v>
      </c>
      <c r="AZ776" t="s">
        <v>74</v>
      </c>
      <c r="BA776" t="s">
        <v>74</v>
      </c>
      <c r="BB776">
        <v>2529</v>
      </c>
      <c r="BC776">
        <v>2538</v>
      </c>
      <c r="BD776" t="s">
        <v>74</v>
      </c>
      <c r="BE776" t="s">
        <v>11116</v>
      </c>
      <c r="BF776" t="str">
        <f>HYPERLINK("http://dx.doi.org/10.1242/jeb.01050","http://dx.doi.org/10.1242/jeb.01050")</f>
        <v>http://dx.doi.org/10.1242/jeb.01050</v>
      </c>
      <c r="BG776" t="s">
        <v>74</v>
      </c>
      <c r="BH776" t="s">
        <v>74</v>
      </c>
      <c r="BI776">
        <v>10</v>
      </c>
      <c r="BJ776" t="s">
        <v>1611</v>
      </c>
      <c r="BK776" t="s">
        <v>139</v>
      </c>
      <c r="BL776" t="s">
        <v>1612</v>
      </c>
      <c r="BM776" t="s">
        <v>11117</v>
      </c>
      <c r="BN776">
        <v>15184524</v>
      </c>
      <c r="BO776" t="s">
        <v>1866</v>
      </c>
      <c r="BP776" t="s">
        <v>74</v>
      </c>
      <c r="BQ776" t="s">
        <v>74</v>
      </c>
      <c r="BR776" t="s">
        <v>98</v>
      </c>
      <c r="BS776" t="s">
        <v>11118</v>
      </c>
      <c r="BT776" t="str">
        <f>HYPERLINK("https%3A%2F%2Fwww.webofscience.com%2Fwos%2Fwoscc%2Ffull-record%2FWOS:000222883000021","View Full Record in Web of Science")</f>
        <v>View Full Record in Web of Science</v>
      </c>
    </row>
    <row r="777" spans="1:72" x14ac:dyDescent="0.15">
      <c r="A777" t="s">
        <v>122</v>
      </c>
      <c r="B777" t="s">
        <v>11119</v>
      </c>
      <c r="C777" t="s">
        <v>74</v>
      </c>
      <c r="D777" t="s">
        <v>74</v>
      </c>
      <c r="E777" t="s">
        <v>74</v>
      </c>
      <c r="F777" t="s">
        <v>11119</v>
      </c>
      <c r="G777" t="s">
        <v>74</v>
      </c>
      <c r="H777" t="s">
        <v>74</v>
      </c>
      <c r="I777" t="s">
        <v>11120</v>
      </c>
      <c r="J777" t="s">
        <v>6299</v>
      </c>
      <c r="K777" t="s">
        <v>74</v>
      </c>
      <c r="L777" t="s">
        <v>74</v>
      </c>
      <c r="M777" t="s">
        <v>79</v>
      </c>
      <c r="N777" t="s">
        <v>126</v>
      </c>
      <c r="O777" t="s">
        <v>74</v>
      </c>
      <c r="P777" t="s">
        <v>74</v>
      </c>
      <c r="Q777" t="s">
        <v>74</v>
      </c>
      <c r="R777" t="s">
        <v>74</v>
      </c>
      <c r="S777" t="s">
        <v>74</v>
      </c>
      <c r="T777" t="s">
        <v>11121</v>
      </c>
      <c r="U777" t="s">
        <v>11122</v>
      </c>
      <c r="V777" t="s">
        <v>11123</v>
      </c>
      <c r="W777" t="s">
        <v>2323</v>
      </c>
      <c r="X777" t="s">
        <v>748</v>
      </c>
      <c r="Y777" t="s">
        <v>502</v>
      </c>
      <c r="Z777" t="s">
        <v>11124</v>
      </c>
      <c r="AA777" t="s">
        <v>74</v>
      </c>
      <c r="AB777" t="s">
        <v>74</v>
      </c>
      <c r="AC777" t="s">
        <v>74</v>
      </c>
      <c r="AD777" t="s">
        <v>74</v>
      </c>
      <c r="AE777" t="s">
        <v>74</v>
      </c>
      <c r="AF777" t="s">
        <v>74</v>
      </c>
      <c r="AG777">
        <v>36</v>
      </c>
      <c r="AH777">
        <v>18</v>
      </c>
      <c r="AI777">
        <v>19</v>
      </c>
      <c r="AJ777">
        <v>0</v>
      </c>
      <c r="AK777">
        <v>12</v>
      </c>
      <c r="AL777" t="s">
        <v>1418</v>
      </c>
      <c r="AM777" t="s">
        <v>1419</v>
      </c>
      <c r="AN777" t="s">
        <v>1420</v>
      </c>
      <c r="AO777" t="s">
        <v>6307</v>
      </c>
      <c r="AP777" t="s">
        <v>6308</v>
      </c>
      <c r="AQ777" t="s">
        <v>74</v>
      </c>
      <c r="AR777" t="s">
        <v>6309</v>
      </c>
      <c r="AS777" t="s">
        <v>6310</v>
      </c>
      <c r="AT777" t="s">
        <v>10473</v>
      </c>
      <c r="AU777">
        <v>2004</v>
      </c>
      <c r="AV777">
        <v>64</v>
      </c>
      <c r="AW777">
        <v>6</v>
      </c>
      <c r="AX777" t="s">
        <v>74</v>
      </c>
      <c r="AY777" t="s">
        <v>74</v>
      </c>
      <c r="AZ777" t="s">
        <v>74</v>
      </c>
      <c r="BA777" t="s">
        <v>74</v>
      </c>
      <c r="BB777">
        <v>1514</v>
      </c>
      <c r="BC777">
        <v>1529</v>
      </c>
      <c r="BD777" t="s">
        <v>74</v>
      </c>
      <c r="BE777" t="s">
        <v>11125</v>
      </c>
      <c r="BF777" t="str">
        <f>HYPERLINK("http://dx.doi.org/10.1111/j.0022-1112.2004.00405.x","http://dx.doi.org/10.1111/j.0022-1112.2004.00405.x")</f>
        <v>http://dx.doi.org/10.1111/j.0022-1112.2004.00405.x</v>
      </c>
      <c r="BG777" t="s">
        <v>74</v>
      </c>
      <c r="BH777" t="s">
        <v>74</v>
      </c>
      <c r="BI777">
        <v>16</v>
      </c>
      <c r="BJ777" t="s">
        <v>6312</v>
      </c>
      <c r="BK777" t="s">
        <v>139</v>
      </c>
      <c r="BL777" t="s">
        <v>6312</v>
      </c>
      <c r="BM777" t="s">
        <v>11126</v>
      </c>
      <c r="BN777" t="s">
        <v>74</v>
      </c>
      <c r="BO777" t="s">
        <v>74</v>
      </c>
      <c r="BP777" t="s">
        <v>74</v>
      </c>
      <c r="BQ777" t="s">
        <v>74</v>
      </c>
      <c r="BR777" t="s">
        <v>98</v>
      </c>
      <c r="BS777" t="s">
        <v>11127</v>
      </c>
      <c r="BT777" t="str">
        <f>HYPERLINK("https%3A%2F%2Fwww.webofscience.com%2Fwos%2Fwoscc%2Ffull-record%2FWOS:000222289600004","View Full Record in Web of Science")</f>
        <v>View Full Record in Web of Science</v>
      </c>
    </row>
    <row r="778" spans="1:72" x14ac:dyDescent="0.15">
      <c r="A778" t="s">
        <v>122</v>
      </c>
      <c r="B778" t="s">
        <v>11128</v>
      </c>
      <c r="C778" t="s">
        <v>74</v>
      </c>
      <c r="D778" t="s">
        <v>74</v>
      </c>
      <c r="E778" t="s">
        <v>74</v>
      </c>
      <c r="F778" t="s">
        <v>11128</v>
      </c>
      <c r="G778" t="s">
        <v>74</v>
      </c>
      <c r="H778" t="s">
        <v>74</v>
      </c>
      <c r="I778" t="s">
        <v>11129</v>
      </c>
      <c r="J778" t="s">
        <v>11130</v>
      </c>
      <c r="K778" t="s">
        <v>74</v>
      </c>
      <c r="L778" t="s">
        <v>74</v>
      </c>
      <c r="M778" t="s">
        <v>79</v>
      </c>
      <c r="N778" t="s">
        <v>581</v>
      </c>
      <c r="O778" t="s">
        <v>74</v>
      </c>
      <c r="P778" t="s">
        <v>74</v>
      </c>
      <c r="Q778" t="s">
        <v>74</v>
      </c>
      <c r="R778" t="s">
        <v>74</v>
      </c>
      <c r="S778" t="s">
        <v>74</v>
      </c>
      <c r="T778" t="s">
        <v>11131</v>
      </c>
      <c r="U778" t="s">
        <v>11132</v>
      </c>
      <c r="V778" t="s">
        <v>11133</v>
      </c>
      <c r="W778" t="s">
        <v>11134</v>
      </c>
      <c r="X778" t="s">
        <v>11135</v>
      </c>
      <c r="Y778" t="s">
        <v>11136</v>
      </c>
      <c r="Z778" t="s">
        <v>11137</v>
      </c>
      <c r="AA778" t="s">
        <v>74</v>
      </c>
      <c r="AB778" t="s">
        <v>74</v>
      </c>
      <c r="AC778" t="s">
        <v>74</v>
      </c>
      <c r="AD778" t="s">
        <v>74</v>
      </c>
      <c r="AE778" t="s">
        <v>74</v>
      </c>
      <c r="AF778" t="s">
        <v>74</v>
      </c>
      <c r="AG778">
        <v>119</v>
      </c>
      <c r="AH778">
        <v>52</v>
      </c>
      <c r="AI778">
        <v>61</v>
      </c>
      <c r="AJ778">
        <v>0</v>
      </c>
      <c r="AK778">
        <v>27</v>
      </c>
      <c r="AL778" t="s">
        <v>1418</v>
      </c>
      <c r="AM778" t="s">
        <v>1419</v>
      </c>
      <c r="AN778" t="s">
        <v>1420</v>
      </c>
      <c r="AO778" t="s">
        <v>11138</v>
      </c>
      <c r="AP778" t="s">
        <v>11139</v>
      </c>
      <c r="AQ778" t="s">
        <v>74</v>
      </c>
      <c r="AR778" t="s">
        <v>11140</v>
      </c>
      <c r="AS778" t="s">
        <v>11141</v>
      </c>
      <c r="AT778" t="s">
        <v>10473</v>
      </c>
      <c r="AU778">
        <v>2004</v>
      </c>
      <c r="AV778">
        <v>35</v>
      </c>
      <c r="AW778">
        <v>6</v>
      </c>
      <c r="AX778" t="s">
        <v>74</v>
      </c>
      <c r="AY778" t="s">
        <v>74</v>
      </c>
      <c r="AZ778" t="s">
        <v>74</v>
      </c>
      <c r="BA778" t="s">
        <v>74</v>
      </c>
      <c r="BB778">
        <v>441</v>
      </c>
      <c r="BC778">
        <v>457</v>
      </c>
      <c r="BD778" t="s">
        <v>74</v>
      </c>
      <c r="BE778" t="s">
        <v>11142</v>
      </c>
      <c r="BF778" t="str">
        <f>HYPERLINK("http://dx.doi.org/10.1002/jrs.1189","http://dx.doi.org/10.1002/jrs.1189")</f>
        <v>http://dx.doi.org/10.1002/jrs.1189</v>
      </c>
      <c r="BG778" t="s">
        <v>74</v>
      </c>
      <c r="BH778" t="s">
        <v>74</v>
      </c>
      <c r="BI778">
        <v>17</v>
      </c>
      <c r="BJ778" t="s">
        <v>9792</v>
      </c>
      <c r="BK778" t="s">
        <v>139</v>
      </c>
      <c r="BL778" t="s">
        <v>9792</v>
      </c>
      <c r="BM778" t="s">
        <v>11143</v>
      </c>
      <c r="BN778" t="s">
        <v>74</v>
      </c>
      <c r="BO778" t="s">
        <v>74</v>
      </c>
      <c r="BP778" t="s">
        <v>74</v>
      </c>
      <c r="BQ778" t="s">
        <v>74</v>
      </c>
      <c r="BR778" t="s">
        <v>98</v>
      </c>
      <c r="BS778" t="s">
        <v>11144</v>
      </c>
      <c r="BT778" t="str">
        <f>HYPERLINK("https%3A%2F%2Fwww.webofscience.com%2Fwos%2Fwoscc%2Ffull-record%2FWOS:000222516000004","View Full Record in Web of Science")</f>
        <v>View Full Record in Web of Science</v>
      </c>
    </row>
    <row r="779" spans="1:72" x14ac:dyDescent="0.15">
      <c r="A779" t="s">
        <v>122</v>
      </c>
      <c r="B779" t="s">
        <v>11145</v>
      </c>
      <c r="C779" t="s">
        <v>74</v>
      </c>
      <c r="D779" t="s">
        <v>74</v>
      </c>
      <c r="E779" t="s">
        <v>74</v>
      </c>
      <c r="F779" t="s">
        <v>11145</v>
      </c>
      <c r="G779" t="s">
        <v>74</v>
      </c>
      <c r="H779" t="s">
        <v>74</v>
      </c>
      <c r="I779" t="s">
        <v>11146</v>
      </c>
      <c r="J779" t="s">
        <v>11130</v>
      </c>
      <c r="K779" t="s">
        <v>74</v>
      </c>
      <c r="L779" t="s">
        <v>74</v>
      </c>
      <c r="M779" t="s">
        <v>79</v>
      </c>
      <c r="N779" t="s">
        <v>126</v>
      </c>
      <c r="O779" t="s">
        <v>74</v>
      </c>
      <c r="P779" t="s">
        <v>74</v>
      </c>
      <c r="Q779" t="s">
        <v>74</v>
      </c>
      <c r="R779" t="s">
        <v>74</v>
      </c>
      <c r="S779" t="s">
        <v>74</v>
      </c>
      <c r="T779" t="s">
        <v>11147</v>
      </c>
      <c r="U779" t="s">
        <v>11148</v>
      </c>
      <c r="V779" t="s">
        <v>11149</v>
      </c>
      <c r="W779" t="s">
        <v>11150</v>
      </c>
      <c r="X779" t="s">
        <v>11151</v>
      </c>
      <c r="Y779" t="s">
        <v>11152</v>
      </c>
      <c r="Z779" t="s">
        <v>11153</v>
      </c>
      <c r="AA779" t="s">
        <v>11154</v>
      </c>
      <c r="AB779" t="s">
        <v>11155</v>
      </c>
      <c r="AC779" t="s">
        <v>74</v>
      </c>
      <c r="AD779" t="s">
        <v>74</v>
      </c>
      <c r="AE779" t="s">
        <v>74</v>
      </c>
      <c r="AF779" t="s">
        <v>74</v>
      </c>
      <c r="AG779">
        <v>22</v>
      </c>
      <c r="AH779">
        <v>21</v>
      </c>
      <c r="AI779">
        <v>21</v>
      </c>
      <c r="AJ779">
        <v>1</v>
      </c>
      <c r="AK779">
        <v>15</v>
      </c>
      <c r="AL779" t="s">
        <v>1418</v>
      </c>
      <c r="AM779" t="s">
        <v>1419</v>
      </c>
      <c r="AN779" t="s">
        <v>1420</v>
      </c>
      <c r="AO779" t="s">
        <v>11138</v>
      </c>
      <c r="AP779" t="s">
        <v>11139</v>
      </c>
      <c r="AQ779" t="s">
        <v>74</v>
      </c>
      <c r="AR779" t="s">
        <v>11140</v>
      </c>
      <c r="AS779" t="s">
        <v>11141</v>
      </c>
      <c r="AT779" t="s">
        <v>10473</v>
      </c>
      <c r="AU779">
        <v>2004</v>
      </c>
      <c r="AV779">
        <v>35</v>
      </c>
      <c r="AW779">
        <v>6</v>
      </c>
      <c r="AX779" t="s">
        <v>74</v>
      </c>
      <c r="AY779" t="s">
        <v>74</v>
      </c>
      <c r="AZ779" t="s">
        <v>74</v>
      </c>
      <c r="BA779" t="s">
        <v>74</v>
      </c>
      <c r="BB779">
        <v>458</v>
      </c>
      <c r="BC779">
        <v>462</v>
      </c>
      <c r="BD779" t="s">
        <v>74</v>
      </c>
      <c r="BE779" t="s">
        <v>11156</v>
      </c>
      <c r="BF779" t="str">
        <f>HYPERLINK("http://dx.doi.org/10.1002/jrs.1174","http://dx.doi.org/10.1002/jrs.1174")</f>
        <v>http://dx.doi.org/10.1002/jrs.1174</v>
      </c>
      <c r="BG779" t="s">
        <v>74</v>
      </c>
      <c r="BH779" t="s">
        <v>74</v>
      </c>
      <c r="BI779">
        <v>5</v>
      </c>
      <c r="BJ779" t="s">
        <v>9792</v>
      </c>
      <c r="BK779" t="s">
        <v>139</v>
      </c>
      <c r="BL779" t="s">
        <v>9792</v>
      </c>
      <c r="BM779" t="s">
        <v>11143</v>
      </c>
      <c r="BN779" t="s">
        <v>74</v>
      </c>
      <c r="BO779" t="s">
        <v>74</v>
      </c>
      <c r="BP779" t="s">
        <v>74</v>
      </c>
      <c r="BQ779" t="s">
        <v>74</v>
      </c>
      <c r="BR779" t="s">
        <v>98</v>
      </c>
      <c r="BS779" t="s">
        <v>11157</v>
      </c>
      <c r="BT779" t="str">
        <f>HYPERLINK("https%3A%2F%2Fwww.webofscience.com%2Fwos%2Fwoscc%2Ffull-record%2FWOS:000222516000005","View Full Record in Web of Science")</f>
        <v>View Full Record in Web of Science</v>
      </c>
    </row>
    <row r="780" spans="1:72" x14ac:dyDescent="0.15">
      <c r="A780" t="s">
        <v>122</v>
      </c>
      <c r="B780" t="s">
        <v>11158</v>
      </c>
      <c r="C780" t="s">
        <v>74</v>
      </c>
      <c r="D780" t="s">
        <v>74</v>
      </c>
      <c r="E780" t="s">
        <v>74</v>
      </c>
      <c r="F780" t="s">
        <v>11158</v>
      </c>
      <c r="G780" t="s">
        <v>74</v>
      </c>
      <c r="H780" t="s">
        <v>74</v>
      </c>
      <c r="I780" t="s">
        <v>11159</v>
      </c>
      <c r="J780" t="s">
        <v>11130</v>
      </c>
      <c r="K780" t="s">
        <v>74</v>
      </c>
      <c r="L780" t="s">
        <v>74</v>
      </c>
      <c r="M780" t="s">
        <v>79</v>
      </c>
      <c r="N780" t="s">
        <v>126</v>
      </c>
      <c r="O780" t="s">
        <v>74</v>
      </c>
      <c r="P780" t="s">
        <v>74</v>
      </c>
      <c r="Q780" t="s">
        <v>74</v>
      </c>
      <c r="R780" t="s">
        <v>74</v>
      </c>
      <c r="S780" t="s">
        <v>74</v>
      </c>
      <c r="T780" t="s">
        <v>11160</v>
      </c>
      <c r="U780" t="s">
        <v>11161</v>
      </c>
      <c r="V780" t="s">
        <v>11162</v>
      </c>
      <c r="W780" t="s">
        <v>11163</v>
      </c>
      <c r="X780" t="s">
        <v>9783</v>
      </c>
      <c r="Y780" t="s">
        <v>11164</v>
      </c>
      <c r="Z780" t="s">
        <v>9785</v>
      </c>
      <c r="AA780" t="s">
        <v>74</v>
      </c>
      <c r="AB780" t="s">
        <v>74</v>
      </c>
      <c r="AC780" t="s">
        <v>74</v>
      </c>
      <c r="AD780" t="s">
        <v>74</v>
      </c>
      <c r="AE780" t="s">
        <v>74</v>
      </c>
      <c r="AF780" t="s">
        <v>74</v>
      </c>
      <c r="AG780">
        <v>20</v>
      </c>
      <c r="AH780">
        <v>28</v>
      </c>
      <c r="AI780">
        <v>28</v>
      </c>
      <c r="AJ780">
        <v>0</v>
      </c>
      <c r="AK780">
        <v>11</v>
      </c>
      <c r="AL780" t="s">
        <v>1418</v>
      </c>
      <c r="AM780" t="s">
        <v>1419</v>
      </c>
      <c r="AN780" t="s">
        <v>1420</v>
      </c>
      <c r="AO780" t="s">
        <v>11138</v>
      </c>
      <c r="AP780" t="s">
        <v>11139</v>
      </c>
      <c r="AQ780" t="s">
        <v>74</v>
      </c>
      <c r="AR780" t="s">
        <v>11140</v>
      </c>
      <c r="AS780" t="s">
        <v>11141</v>
      </c>
      <c r="AT780" t="s">
        <v>10473</v>
      </c>
      <c r="AU780">
        <v>2004</v>
      </c>
      <c r="AV780">
        <v>35</v>
      </c>
      <c r="AW780">
        <v>6</v>
      </c>
      <c r="AX780" t="s">
        <v>74</v>
      </c>
      <c r="AY780" t="s">
        <v>74</v>
      </c>
      <c r="AZ780" t="s">
        <v>74</v>
      </c>
      <c r="BA780" t="s">
        <v>74</v>
      </c>
      <c r="BB780">
        <v>463</v>
      </c>
      <c r="BC780">
        <v>469</v>
      </c>
      <c r="BD780" t="s">
        <v>74</v>
      </c>
      <c r="BE780" t="s">
        <v>11165</v>
      </c>
      <c r="BF780" t="str">
        <f>HYPERLINK("http://dx.doi.org/10.1002/jrs.1172","http://dx.doi.org/10.1002/jrs.1172")</f>
        <v>http://dx.doi.org/10.1002/jrs.1172</v>
      </c>
      <c r="BG780" t="s">
        <v>74</v>
      </c>
      <c r="BH780" t="s">
        <v>74</v>
      </c>
      <c r="BI780">
        <v>9</v>
      </c>
      <c r="BJ780" t="s">
        <v>9792</v>
      </c>
      <c r="BK780" t="s">
        <v>139</v>
      </c>
      <c r="BL780" t="s">
        <v>9792</v>
      </c>
      <c r="BM780" t="s">
        <v>11143</v>
      </c>
      <c r="BN780" t="s">
        <v>74</v>
      </c>
      <c r="BO780" t="s">
        <v>74</v>
      </c>
      <c r="BP780" t="s">
        <v>74</v>
      </c>
      <c r="BQ780" t="s">
        <v>74</v>
      </c>
      <c r="BR780" t="s">
        <v>98</v>
      </c>
      <c r="BS780" t="s">
        <v>11166</v>
      </c>
      <c r="BT780" t="str">
        <f>HYPERLINK("https%3A%2F%2Fwww.webofscience.com%2Fwos%2Fwoscc%2Ffull-record%2FWOS:000222516000006","View Full Record in Web of Science")</f>
        <v>View Full Record in Web of Science</v>
      </c>
    </row>
    <row r="781" spans="1:72" x14ac:dyDescent="0.15">
      <c r="A781" t="s">
        <v>122</v>
      </c>
      <c r="B781" t="s">
        <v>11167</v>
      </c>
      <c r="C781" t="s">
        <v>74</v>
      </c>
      <c r="D781" t="s">
        <v>74</v>
      </c>
      <c r="E781" t="s">
        <v>74</v>
      </c>
      <c r="F781" t="s">
        <v>11167</v>
      </c>
      <c r="G781" t="s">
        <v>74</v>
      </c>
      <c r="H781" t="s">
        <v>74</v>
      </c>
      <c r="I781" t="s">
        <v>11168</v>
      </c>
      <c r="J781" t="s">
        <v>11130</v>
      </c>
      <c r="K781" t="s">
        <v>74</v>
      </c>
      <c r="L781" t="s">
        <v>74</v>
      </c>
      <c r="M781" t="s">
        <v>79</v>
      </c>
      <c r="N781" t="s">
        <v>126</v>
      </c>
      <c r="O781" t="s">
        <v>74</v>
      </c>
      <c r="P781" t="s">
        <v>74</v>
      </c>
      <c r="Q781" t="s">
        <v>74</v>
      </c>
      <c r="R781" t="s">
        <v>74</v>
      </c>
      <c r="S781" t="s">
        <v>74</v>
      </c>
      <c r="T781" t="s">
        <v>11169</v>
      </c>
      <c r="U781" t="s">
        <v>74</v>
      </c>
      <c r="V781" t="s">
        <v>11170</v>
      </c>
      <c r="W781" t="s">
        <v>11163</v>
      </c>
      <c r="X781" t="s">
        <v>9783</v>
      </c>
      <c r="Y781" t="s">
        <v>11164</v>
      </c>
      <c r="Z781" t="s">
        <v>9785</v>
      </c>
      <c r="AA781" t="s">
        <v>11154</v>
      </c>
      <c r="AB781" t="s">
        <v>11171</v>
      </c>
      <c r="AC781" t="s">
        <v>74</v>
      </c>
      <c r="AD781" t="s">
        <v>74</v>
      </c>
      <c r="AE781" t="s">
        <v>74</v>
      </c>
      <c r="AF781" t="s">
        <v>74</v>
      </c>
      <c r="AG781">
        <v>20</v>
      </c>
      <c r="AH781">
        <v>36</v>
      </c>
      <c r="AI781">
        <v>38</v>
      </c>
      <c r="AJ781">
        <v>2</v>
      </c>
      <c r="AK781">
        <v>16</v>
      </c>
      <c r="AL781" t="s">
        <v>1418</v>
      </c>
      <c r="AM781" t="s">
        <v>1419</v>
      </c>
      <c r="AN781" t="s">
        <v>1420</v>
      </c>
      <c r="AO781" t="s">
        <v>11138</v>
      </c>
      <c r="AP781" t="s">
        <v>11139</v>
      </c>
      <c r="AQ781" t="s">
        <v>74</v>
      </c>
      <c r="AR781" t="s">
        <v>11140</v>
      </c>
      <c r="AS781" t="s">
        <v>11141</v>
      </c>
      <c r="AT781" t="s">
        <v>10473</v>
      </c>
      <c r="AU781">
        <v>2004</v>
      </c>
      <c r="AV781">
        <v>35</v>
      </c>
      <c r="AW781">
        <v>6</v>
      </c>
      <c r="AX781" t="s">
        <v>74</v>
      </c>
      <c r="AY781" t="s">
        <v>74</v>
      </c>
      <c r="AZ781" t="s">
        <v>74</v>
      </c>
      <c r="BA781" t="s">
        <v>74</v>
      </c>
      <c r="BB781">
        <v>470</v>
      </c>
      <c r="BC781">
        <v>474</v>
      </c>
      <c r="BD781" t="s">
        <v>74</v>
      </c>
      <c r="BE781" t="s">
        <v>11172</v>
      </c>
      <c r="BF781" t="str">
        <f>HYPERLINK("http://dx.doi.org/10.1002/jrs.1171","http://dx.doi.org/10.1002/jrs.1171")</f>
        <v>http://dx.doi.org/10.1002/jrs.1171</v>
      </c>
      <c r="BG781" t="s">
        <v>74</v>
      </c>
      <c r="BH781" t="s">
        <v>74</v>
      </c>
      <c r="BI781">
        <v>7</v>
      </c>
      <c r="BJ781" t="s">
        <v>9792</v>
      </c>
      <c r="BK781" t="s">
        <v>139</v>
      </c>
      <c r="BL781" t="s">
        <v>9792</v>
      </c>
      <c r="BM781" t="s">
        <v>11143</v>
      </c>
      <c r="BN781" t="s">
        <v>74</v>
      </c>
      <c r="BO781" t="s">
        <v>74</v>
      </c>
      <c r="BP781" t="s">
        <v>74</v>
      </c>
      <c r="BQ781" t="s">
        <v>74</v>
      </c>
      <c r="BR781" t="s">
        <v>98</v>
      </c>
      <c r="BS781" t="s">
        <v>11173</v>
      </c>
      <c r="BT781" t="str">
        <f>HYPERLINK("https%3A%2F%2Fwww.webofscience.com%2Fwos%2Fwoscc%2Ffull-record%2FWOS:000222516000007","View Full Record in Web of Science")</f>
        <v>View Full Record in Web of Science</v>
      </c>
    </row>
    <row r="782" spans="1:72" x14ac:dyDescent="0.15">
      <c r="A782" t="s">
        <v>122</v>
      </c>
      <c r="B782" t="s">
        <v>11174</v>
      </c>
      <c r="C782" t="s">
        <v>74</v>
      </c>
      <c r="D782" t="s">
        <v>74</v>
      </c>
      <c r="E782" t="s">
        <v>74</v>
      </c>
      <c r="F782" t="s">
        <v>11174</v>
      </c>
      <c r="G782" t="s">
        <v>74</v>
      </c>
      <c r="H782" t="s">
        <v>74</v>
      </c>
      <c r="I782" t="s">
        <v>11175</v>
      </c>
      <c r="J782" t="s">
        <v>11130</v>
      </c>
      <c r="K782" t="s">
        <v>74</v>
      </c>
      <c r="L782" t="s">
        <v>74</v>
      </c>
      <c r="M782" t="s">
        <v>79</v>
      </c>
      <c r="N782" t="s">
        <v>126</v>
      </c>
      <c r="O782" t="s">
        <v>74</v>
      </c>
      <c r="P782" t="s">
        <v>74</v>
      </c>
      <c r="Q782" t="s">
        <v>74</v>
      </c>
      <c r="R782" t="s">
        <v>74</v>
      </c>
      <c r="S782" t="s">
        <v>74</v>
      </c>
      <c r="T782" t="s">
        <v>11176</v>
      </c>
      <c r="U782" t="s">
        <v>11177</v>
      </c>
      <c r="V782" t="s">
        <v>11178</v>
      </c>
      <c r="W782" t="s">
        <v>11179</v>
      </c>
      <c r="X782" t="s">
        <v>11180</v>
      </c>
      <c r="Y782" t="s">
        <v>11181</v>
      </c>
      <c r="Z782" t="s">
        <v>9785</v>
      </c>
      <c r="AA782" t="s">
        <v>11154</v>
      </c>
      <c r="AB782" t="s">
        <v>11171</v>
      </c>
      <c r="AC782" t="s">
        <v>74</v>
      </c>
      <c r="AD782" t="s">
        <v>74</v>
      </c>
      <c r="AE782" t="s">
        <v>74</v>
      </c>
      <c r="AF782" t="s">
        <v>74</v>
      </c>
      <c r="AG782">
        <v>13</v>
      </c>
      <c r="AH782">
        <v>20</v>
      </c>
      <c r="AI782">
        <v>22</v>
      </c>
      <c r="AJ782">
        <v>1</v>
      </c>
      <c r="AK782">
        <v>10</v>
      </c>
      <c r="AL782" t="s">
        <v>1142</v>
      </c>
      <c r="AM782" t="s">
        <v>1143</v>
      </c>
      <c r="AN782" t="s">
        <v>1144</v>
      </c>
      <c r="AO782" t="s">
        <v>11138</v>
      </c>
      <c r="AP782" t="s">
        <v>74</v>
      </c>
      <c r="AQ782" t="s">
        <v>74</v>
      </c>
      <c r="AR782" t="s">
        <v>11140</v>
      </c>
      <c r="AS782" t="s">
        <v>11141</v>
      </c>
      <c r="AT782" t="s">
        <v>10473</v>
      </c>
      <c r="AU782">
        <v>2004</v>
      </c>
      <c r="AV782">
        <v>35</v>
      </c>
      <c r="AW782">
        <v>6</v>
      </c>
      <c r="AX782" t="s">
        <v>74</v>
      </c>
      <c r="AY782" t="s">
        <v>74</v>
      </c>
      <c r="AZ782" t="s">
        <v>74</v>
      </c>
      <c r="BA782" t="s">
        <v>74</v>
      </c>
      <c r="BB782">
        <v>475</v>
      </c>
      <c r="BC782">
        <v>479</v>
      </c>
      <c r="BD782" t="s">
        <v>74</v>
      </c>
      <c r="BE782" t="s">
        <v>11182</v>
      </c>
      <c r="BF782" t="str">
        <f>HYPERLINK("http://dx.doi.org/10.1002/jrs.1170","http://dx.doi.org/10.1002/jrs.1170")</f>
        <v>http://dx.doi.org/10.1002/jrs.1170</v>
      </c>
      <c r="BG782" t="s">
        <v>74</v>
      </c>
      <c r="BH782" t="s">
        <v>74</v>
      </c>
      <c r="BI782">
        <v>5</v>
      </c>
      <c r="BJ782" t="s">
        <v>9792</v>
      </c>
      <c r="BK782" t="s">
        <v>139</v>
      </c>
      <c r="BL782" t="s">
        <v>9792</v>
      </c>
      <c r="BM782" t="s">
        <v>11143</v>
      </c>
      <c r="BN782" t="s">
        <v>74</v>
      </c>
      <c r="BO782" t="s">
        <v>74</v>
      </c>
      <c r="BP782" t="s">
        <v>74</v>
      </c>
      <c r="BQ782" t="s">
        <v>74</v>
      </c>
      <c r="BR782" t="s">
        <v>98</v>
      </c>
      <c r="BS782" t="s">
        <v>11183</v>
      </c>
      <c r="BT782" t="str">
        <f>HYPERLINK("https%3A%2F%2Fwww.webofscience.com%2Fwos%2Fwoscc%2Ffull-record%2FWOS:000222516000008","View Full Record in Web of Science")</f>
        <v>View Full Record in Web of Science</v>
      </c>
    </row>
    <row r="783" spans="1:72" x14ac:dyDescent="0.15">
      <c r="A783" t="s">
        <v>122</v>
      </c>
      <c r="B783" t="s">
        <v>11184</v>
      </c>
      <c r="C783" t="s">
        <v>74</v>
      </c>
      <c r="D783" t="s">
        <v>74</v>
      </c>
      <c r="E783" t="s">
        <v>74</v>
      </c>
      <c r="F783" t="s">
        <v>11184</v>
      </c>
      <c r="G783" t="s">
        <v>74</v>
      </c>
      <c r="H783" t="s">
        <v>74</v>
      </c>
      <c r="I783" t="s">
        <v>11185</v>
      </c>
      <c r="J783" t="s">
        <v>4753</v>
      </c>
      <c r="K783" t="s">
        <v>74</v>
      </c>
      <c r="L783" t="s">
        <v>74</v>
      </c>
      <c r="M783" t="s">
        <v>79</v>
      </c>
      <c r="N783" t="s">
        <v>126</v>
      </c>
      <c r="O783" t="s">
        <v>74</v>
      </c>
      <c r="P783" t="s">
        <v>74</v>
      </c>
      <c r="Q783" t="s">
        <v>74</v>
      </c>
      <c r="R783" t="s">
        <v>74</v>
      </c>
      <c r="S783" t="s">
        <v>74</v>
      </c>
      <c r="T783" t="s">
        <v>74</v>
      </c>
      <c r="U783" t="s">
        <v>74</v>
      </c>
      <c r="V783" t="s">
        <v>11186</v>
      </c>
      <c r="W783" t="s">
        <v>11187</v>
      </c>
      <c r="X783" t="s">
        <v>11188</v>
      </c>
      <c r="Y783" t="s">
        <v>11189</v>
      </c>
      <c r="Z783" t="s">
        <v>11190</v>
      </c>
      <c r="AA783" t="s">
        <v>11191</v>
      </c>
      <c r="AB783" t="s">
        <v>74</v>
      </c>
      <c r="AC783" t="s">
        <v>74</v>
      </c>
      <c r="AD783" t="s">
        <v>74</v>
      </c>
      <c r="AE783" t="s">
        <v>74</v>
      </c>
      <c r="AF783" t="s">
        <v>74</v>
      </c>
      <c r="AG783">
        <v>15</v>
      </c>
      <c r="AH783">
        <v>13</v>
      </c>
      <c r="AI783">
        <v>13</v>
      </c>
      <c r="AJ783">
        <v>0</v>
      </c>
      <c r="AK783">
        <v>11</v>
      </c>
      <c r="AL783" t="s">
        <v>919</v>
      </c>
      <c r="AM783" t="s">
        <v>613</v>
      </c>
      <c r="AN783" t="s">
        <v>937</v>
      </c>
      <c r="AO783" t="s">
        <v>4760</v>
      </c>
      <c r="AP783" t="s">
        <v>4775</v>
      </c>
      <c r="AQ783" t="s">
        <v>74</v>
      </c>
      <c r="AR783" t="s">
        <v>4761</v>
      </c>
      <c r="AS783" t="s">
        <v>4762</v>
      </c>
      <c r="AT783" t="s">
        <v>10473</v>
      </c>
      <c r="AU783">
        <v>2004</v>
      </c>
      <c r="AV783">
        <v>84</v>
      </c>
      <c r="AW783">
        <v>3</v>
      </c>
      <c r="AX783" t="s">
        <v>74</v>
      </c>
      <c r="AY783" t="s">
        <v>74</v>
      </c>
      <c r="AZ783" t="s">
        <v>74</v>
      </c>
      <c r="BA783" t="s">
        <v>74</v>
      </c>
      <c r="BB783">
        <v>633</v>
      </c>
      <c r="BC783">
        <v>639</v>
      </c>
      <c r="BD783" t="s">
        <v>74</v>
      </c>
      <c r="BE783" t="s">
        <v>11192</v>
      </c>
      <c r="BF783" t="str">
        <f>HYPERLINK("http://dx.doi.org/10.1017/S0025315404009671h","http://dx.doi.org/10.1017/S0025315404009671h")</f>
        <v>http://dx.doi.org/10.1017/S0025315404009671h</v>
      </c>
      <c r="BG783" t="s">
        <v>74</v>
      </c>
      <c r="BH783" t="s">
        <v>74</v>
      </c>
      <c r="BI783">
        <v>7</v>
      </c>
      <c r="BJ783" t="s">
        <v>1763</v>
      </c>
      <c r="BK783" t="s">
        <v>139</v>
      </c>
      <c r="BL783" t="s">
        <v>1763</v>
      </c>
      <c r="BM783" t="s">
        <v>11193</v>
      </c>
      <c r="BN783" t="s">
        <v>74</v>
      </c>
      <c r="BO783" t="s">
        <v>74</v>
      </c>
      <c r="BP783" t="s">
        <v>74</v>
      </c>
      <c r="BQ783" t="s">
        <v>74</v>
      </c>
      <c r="BR783" t="s">
        <v>98</v>
      </c>
      <c r="BS783" t="s">
        <v>11194</v>
      </c>
      <c r="BT783" t="str">
        <f>HYPERLINK("https%3A%2F%2Fwww.webofscience.com%2Fwos%2Fwoscc%2Ffull-record%2FWOS:000222448700019","View Full Record in Web of Science")</f>
        <v>View Full Record in Web of Science</v>
      </c>
    </row>
    <row r="784" spans="1:72" x14ac:dyDescent="0.15">
      <c r="A784" t="s">
        <v>122</v>
      </c>
      <c r="B784" t="s">
        <v>11195</v>
      </c>
      <c r="C784" t="s">
        <v>74</v>
      </c>
      <c r="D784" t="s">
        <v>74</v>
      </c>
      <c r="E784" t="s">
        <v>74</v>
      </c>
      <c r="F784" t="s">
        <v>11195</v>
      </c>
      <c r="G784" t="s">
        <v>74</v>
      </c>
      <c r="H784" t="s">
        <v>74</v>
      </c>
      <c r="I784" t="s">
        <v>11196</v>
      </c>
      <c r="J784" t="s">
        <v>11197</v>
      </c>
      <c r="K784" t="s">
        <v>74</v>
      </c>
      <c r="L784" t="s">
        <v>74</v>
      </c>
      <c r="M784" t="s">
        <v>79</v>
      </c>
      <c r="N784" t="s">
        <v>126</v>
      </c>
      <c r="O784" t="s">
        <v>74</v>
      </c>
      <c r="P784" t="s">
        <v>74</v>
      </c>
      <c r="Q784" t="s">
        <v>74</v>
      </c>
      <c r="R784" t="s">
        <v>74</v>
      </c>
      <c r="S784" t="s">
        <v>74</v>
      </c>
      <c r="T784" t="s">
        <v>11198</v>
      </c>
      <c r="U784" t="s">
        <v>11199</v>
      </c>
      <c r="V784" t="s">
        <v>11200</v>
      </c>
      <c r="W784" t="s">
        <v>11201</v>
      </c>
      <c r="X784" t="s">
        <v>11202</v>
      </c>
      <c r="Y784" t="s">
        <v>11203</v>
      </c>
      <c r="Z784" t="s">
        <v>11204</v>
      </c>
      <c r="AA784" t="s">
        <v>74</v>
      </c>
      <c r="AB784" t="s">
        <v>11205</v>
      </c>
      <c r="AC784" t="s">
        <v>74</v>
      </c>
      <c r="AD784" t="s">
        <v>74</v>
      </c>
      <c r="AE784" t="s">
        <v>74</v>
      </c>
      <c r="AF784" t="s">
        <v>74</v>
      </c>
      <c r="AG784">
        <v>57</v>
      </c>
      <c r="AH784">
        <v>109</v>
      </c>
      <c r="AI784">
        <v>141</v>
      </c>
      <c r="AJ784">
        <v>3</v>
      </c>
      <c r="AK784">
        <v>57</v>
      </c>
      <c r="AL784" t="s">
        <v>11206</v>
      </c>
      <c r="AM784" t="s">
        <v>3641</v>
      </c>
      <c r="AN784" t="s">
        <v>11207</v>
      </c>
      <c r="AO784" t="s">
        <v>11208</v>
      </c>
      <c r="AP784" t="s">
        <v>74</v>
      </c>
      <c r="AQ784" t="s">
        <v>74</v>
      </c>
      <c r="AR784" t="s">
        <v>11209</v>
      </c>
      <c r="AS784" t="s">
        <v>11210</v>
      </c>
      <c r="AT784" t="s">
        <v>10473</v>
      </c>
      <c r="AU784">
        <v>2004</v>
      </c>
      <c r="AV784">
        <v>23</v>
      </c>
      <c r="AW784">
        <v>2</v>
      </c>
      <c r="AX784" t="s">
        <v>74</v>
      </c>
      <c r="AY784" t="s">
        <v>74</v>
      </c>
      <c r="AZ784" t="s">
        <v>74</v>
      </c>
      <c r="BA784" t="s">
        <v>74</v>
      </c>
      <c r="BB784">
        <v>171</v>
      </c>
      <c r="BC784">
        <v>188</v>
      </c>
      <c r="BD784" t="s">
        <v>74</v>
      </c>
      <c r="BE784" t="s">
        <v>11211</v>
      </c>
      <c r="BF784" t="str">
        <f>HYPERLINK("http://dx.doi.org/10.1899/0887-3593(2004)023&lt;0171:INAPDO&gt;2.0.CO;2","http://dx.doi.org/10.1899/0887-3593(2004)023&lt;0171:INAPDO&gt;2.0.CO;2")</f>
        <v>http://dx.doi.org/10.1899/0887-3593(2004)023&lt;0171:INAPDO&gt;2.0.CO;2</v>
      </c>
      <c r="BG784" t="s">
        <v>74</v>
      </c>
      <c r="BH784" t="s">
        <v>74</v>
      </c>
      <c r="BI784">
        <v>18</v>
      </c>
      <c r="BJ784" t="s">
        <v>3942</v>
      </c>
      <c r="BK784" t="s">
        <v>139</v>
      </c>
      <c r="BL784" t="s">
        <v>1797</v>
      </c>
      <c r="BM784" t="s">
        <v>11212</v>
      </c>
      <c r="BN784" t="s">
        <v>74</v>
      </c>
      <c r="BO784" t="s">
        <v>74</v>
      </c>
      <c r="BP784" t="s">
        <v>74</v>
      </c>
      <c r="BQ784" t="s">
        <v>74</v>
      </c>
      <c r="BR784" t="s">
        <v>98</v>
      </c>
      <c r="BS784" t="s">
        <v>11213</v>
      </c>
      <c r="BT784" t="str">
        <f>HYPERLINK("https%3A%2F%2Fwww.webofscience.com%2Fwos%2Fwoscc%2Ffull-record%2FWOS:000221974000002","View Full Record in Web of Science")</f>
        <v>View Full Record in Web of Science</v>
      </c>
    </row>
    <row r="785" spans="1:72" x14ac:dyDescent="0.15">
      <c r="A785" t="s">
        <v>122</v>
      </c>
      <c r="B785" t="s">
        <v>11214</v>
      </c>
      <c r="C785" t="s">
        <v>74</v>
      </c>
      <c r="D785" t="s">
        <v>74</v>
      </c>
      <c r="E785" t="s">
        <v>74</v>
      </c>
      <c r="F785" t="s">
        <v>11214</v>
      </c>
      <c r="G785" t="s">
        <v>74</v>
      </c>
      <c r="H785" t="s">
        <v>74</v>
      </c>
      <c r="I785" t="s">
        <v>11215</v>
      </c>
      <c r="J785" t="s">
        <v>1724</v>
      </c>
      <c r="K785" t="s">
        <v>74</v>
      </c>
      <c r="L785" t="s">
        <v>74</v>
      </c>
      <c r="M785" t="s">
        <v>79</v>
      </c>
      <c r="N785" t="s">
        <v>581</v>
      </c>
      <c r="O785" t="s">
        <v>74</v>
      </c>
      <c r="P785" t="s">
        <v>74</v>
      </c>
      <c r="Q785" t="s">
        <v>74</v>
      </c>
      <c r="R785" t="s">
        <v>74</v>
      </c>
      <c r="S785" t="s">
        <v>74</v>
      </c>
      <c r="T785" t="s">
        <v>11216</v>
      </c>
      <c r="U785" t="s">
        <v>11217</v>
      </c>
      <c r="V785" t="s">
        <v>11218</v>
      </c>
      <c r="W785" t="s">
        <v>11219</v>
      </c>
      <c r="X785" t="s">
        <v>11220</v>
      </c>
      <c r="Y785" t="s">
        <v>11221</v>
      </c>
      <c r="Z785" t="s">
        <v>11222</v>
      </c>
      <c r="AA785" t="s">
        <v>11223</v>
      </c>
      <c r="AB785" t="s">
        <v>11224</v>
      </c>
      <c r="AC785" t="s">
        <v>74</v>
      </c>
      <c r="AD785" t="s">
        <v>74</v>
      </c>
      <c r="AE785" t="s">
        <v>74</v>
      </c>
      <c r="AF785" t="s">
        <v>74</v>
      </c>
      <c r="AG785">
        <v>105</v>
      </c>
      <c r="AH785">
        <v>61</v>
      </c>
      <c r="AI785">
        <v>71</v>
      </c>
      <c r="AJ785">
        <v>2</v>
      </c>
      <c r="AK785">
        <v>24</v>
      </c>
      <c r="AL785" t="s">
        <v>1418</v>
      </c>
      <c r="AM785" t="s">
        <v>1419</v>
      </c>
      <c r="AN785" t="s">
        <v>1420</v>
      </c>
      <c r="AO785" t="s">
        <v>1728</v>
      </c>
      <c r="AP785" t="s">
        <v>1746</v>
      </c>
      <c r="AQ785" t="s">
        <v>74</v>
      </c>
      <c r="AR785" t="s">
        <v>1729</v>
      </c>
      <c r="AS785" t="s">
        <v>1730</v>
      </c>
      <c r="AT785" t="s">
        <v>10473</v>
      </c>
      <c r="AU785">
        <v>2004</v>
      </c>
      <c r="AV785">
        <v>263</v>
      </c>
      <c r="AW785" t="s">
        <v>74</v>
      </c>
      <c r="AX785">
        <v>2</v>
      </c>
      <c r="AY785" t="s">
        <v>74</v>
      </c>
      <c r="AZ785" t="s">
        <v>74</v>
      </c>
      <c r="BA785" t="s">
        <v>74</v>
      </c>
      <c r="BB785">
        <v>107</v>
      </c>
      <c r="BC785">
        <v>119</v>
      </c>
      <c r="BD785" t="s">
        <v>74</v>
      </c>
      <c r="BE785" t="s">
        <v>11225</v>
      </c>
      <c r="BF785" t="str">
        <f>HYPERLINK("http://dx.doi.org/10.1017/S0952836904004984","http://dx.doi.org/10.1017/S0952836904004984")</f>
        <v>http://dx.doi.org/10.1017/S0952836904004984</v>
      </c>
      <c r="BG785" t="s">
        <v>74</v>
      </c>
      <c r="BH785" t="s">
        <v>74</v>
      </c>
      <c r="BI785">
        <v>13</v>
      </c>
      <c r="BJ785" t="s">
        <v>205</v>
      </c>
      <c r="BK785" t="s">
        <v>139</v>
      </c>
      <c r="BL785" t="s">
        <v>205</v>
      </c>
      <c r="BM785" t="s">
        <v>11226</v>
      </c>
      <c r="BN785" t="s">
        <v>74</v>
      </c>
      <c r="BO785" t="s">
        <v>74</v>
      </c>
      <c r="BP785" t="s">
        <v>74</v>
      </c>
      <c r="BQ785" t="s">
        <v>74</v>
      </c>
      <c r="BR785" t="s">
        <v>98</v>
      </c>
      <c r="BS785" t="s">
        <v>11227</v>
      </c>
      <c r="BT785" t="str">
        <f>HYPERLINK("https%3A%2F%2Fwww.webofscience.com%2Fwos%2Fwoscc%2Ffull-record%2FWOS:000221979200001","View Full Record in Web of Science")</f>
        <v>View Full Record in Web of Science</v>
      </c>
    </row>
    <row r="786" spans="1:72" x14ac:dyDescent="0.15">
      <c r="A786" t="s">
        <v>122</v>
      </c>
      <c r="B786" t="s">
        <v>11228</v>
      </c>
      <c r="C786" t="s">
        <v>74</v>
      </c>
      <c r="D786" t="s">
        <v>74</v>
      </c>
      <c r="E786" t="s">
        <v>74</v>
      </c>
      <c r="F786" t="s">
        <v>11228</v>
      </c>
      <c r="G786" t="s">
        <v>74</v>
      </c>
      <c r="H786" t="s">
        <v>74</v>
      </c>
      <c r="I786" t="s">
        <v>11229</v>
      </c>
      <c r="J786" t="s">
        <v>11230</v>
      </c>
      <c r="K786" t="s">
        <v>74</v>
      </c>
      <c r="L786" t="s">
        <v>74</v>
      </c>
      <c r="M786" t="s">
        <v>79</v>
      </c>
      <c r="N786" t="s">
        <v>126</v>
      </c>
      <c r="O786" t="s">
        <v>74</v>
      </c>
      <c r="P786" t="s">
        <v>74</v>
      </c>
      <c r="Q786" t="s">
        <v>74</v>
      </c>
      <c r="R786" t="s">
        <v>74</v>
      </c>
      <c r="S786" t="s">
        <v>74</v>
      </c>
      <c r="T786" t="s">
        <v>74</v>
      </c>
      <c r="U786" t="s">
        <v>11231</v>
      </c>
      <c r="V786" t="s">
        <v>11232</v>
      </c>
      <c r="W786" t="s">
        <v>11233</v>
      </c>
      <c r="X786" t="s">
        <v>11234</v>
      </c>
      <c r="Y786" t="s">
        <v>10919</v>
      </c>
      <c r="Z786" t="s">
        <v>74</v>
      </c>
      <c r="AA786" t="s">
        <v>11235</v>
      </c>
      <c r="AB786" t="s">
        <v>11236</v>
      </c>
      <c r="AC786" t="s">
        <v>74</v>
      </c>
      <c r="AD786" t="s">
        <v>74</v>
      </c>
      <c r="AE786" t="s">
        <v>74</v>
      </c>
      <c r="AF786" t="s">
        <v>74</v>
      </c>
      <c r="AG786">
        <v>18</v>
      </c>
      <c r="AH786">
        <v>12</v>
      </c>
      <c r="AI786">
        <v>14</v>
      </c>
      <c r="AJ786">
        <v>0</v>
      </c>
      <c r="AK786">
        <v>4</v>
      </c>
      <c r="AL786" t="s">
        <v>3463</v>
      </c>
      <c r="AM786" t="s">
        <v>3464</v>
      </c>
      <c r="AN786" t="s">
        <v>3465</v>
      </c>
      <c r="AO786" t="s">
        <v>74</v>
      </c>
      <c r="AP786" t="s">
        <v>74</v>
      </c>
      <c r="AQ786" t="s">
        <v>74</v>
      </c>
      <c r="AR786" t="s">
        <v>11237</v>
      </c>
      <c r="AS786" t="s">
        <v>11238</v>
      </c>
      <c r="AT786" t="s">
        <v>10473</v>
      </c>
      <c r="AU786">
        <v>2004</v>
      </c>
      <c r="AV786">
        <v>2</v>
      </c>
      <c r="AW786" t="s">
        <v>74</v>
      </c>
      <c r="AX786" t="s">
        <v>74</v>
      </c>
      <c r="AY786" t="s">
        <v>74</v>
      </c>
      <c r="AZ786" t="s">
        <v>74</v>
      </c>
      <c r="BA786" t="s">
        <v>74</v>
      </c>
      <c r="BB786">
        <v>191</v>
      </c>
      <c r="BC786">
        <v>201</v>
      </c>
      <c r="BD786" t="s">
        <v>74</v>
      </c>
      <c r="BE786" t="s">
        <v>11239</v>
      </c>
      <c r="BF786" t="str">
        <f>HYPERLINK("http://dx.doi.org/10.4319/lom.2004.2.191","http://dx.doi.org/10.4319/lom.2004.2.191")</f>
        <v>http://dx.doi.org/10.4319/lom.2004.2.191</v>
      </c>
      <c r="BG786" t="s">
        <v>74</v>
      </c>
      <c r="BH786" t="s">
        <v>74</v>
      </c>
      <c r="BI786">
        <v>11</v>
      </c>
      <c r="BJ786" t="s">
        <v>3470</v>
      </c>
      <c r="BK786" t="s">
        <v>139</v>
      </c>
      <c r="BL786" t="s">
        <v>1709</v>
      </c>
      <c r="BM786" t="s">
        <v>11240</v>
      </c>
      <c r="BN786" t="s">
        <v>74</v>
      </c>
      <c r="BO786" t="s">
        <v>273</v>
      </c>
      <c r="BP786" t="s">
        <v>74</v>
      </c>
      <c r="BQ786" t="s">
        <v>74</v>
      </c>
      <c r="BR786" t="s">
        <v>98</v>
      </c>
      <c r="BS786" t="s">
        <v>11241</v>
      </c>
      <c r="BT786" t="str">
        <f>HYPERLINK("https%3A%2F%2Fwww.webofscience.com%2Fwos%2Fwoscc%2Ffull-record%2FWOS:000227420000005","View Full Record in Web of Science")</f>
        <v>View Full Record in Web of Science</v>
      </c>
    </row>
    <row r="787" spans="1:72" x14ac:dyDescent="0.15">
      <c r="A787" t="s">
        <v>122</v>
      </c>
      <c r="B787" t="s">
        <v>11242</v>
      </c>
      <c r="C787" t="s">
        <v>74</v>
      </c>
      <c r="D787" t="s">
        <v>74</v>
      </c>
      <c r="E787" t="s">
        <v>74</v>
      </c>
      <c r="F787" t="s">
        <v>11242</v>
      </c>
      <c r="G787" t="s">
        <v>74</v>
      </c>
      <c r="H787" t="s">
        <v>74</v>
      </c>
      <c r="I787" t="s">
        <v>11243</v>
      </c>
      <c r="J787" t="s">
        <v>11244</v>
      </c>
      <c r="K787" t="s">
        <v>74</v>
      </c>
      <c r="L787" t="s">
        <v>74</v>
      </c>
      <c r="M787" t="s">
        <v>79</v>
      </c>
      <c r="N787" t="s">
        <v>126</v>
      </c>
      <c r="O787" t="s">
        <v>74</v>
      </c>
      <c r="P787" t="s">
        <v>74</v>
      </c>
      <c r="Q787" t="s">
        <v>74</v>
      </c>
      <c r="R787" t="s">
        <v>74</v>
      </c>
      <c r="S787" t="s">
        <v>74</v>
      </c>
      <c r="T787" t="s">
        <v>11245</v>
      </c>
      <c r="U787" t="s">
        <v>11246</v>
      </c>
      <c r="V787" t="s">
        <v>11247</v>
      </c>
      <c r="W787" t="s">
        <v>11248</v>
      </c>
      <c r="X787" t="s">
        <v>11249</v>
      </c>
      <c r="Y787" t="s">
        <v>11250</v>
      </c>
      <c r="Z787" t="s">
        <v>11251</v>
      </c>
      <c r="AA787" t="s">
        <v>11252</v>
      </c>
      <c r="AB787" t="s">
        <v>11253</v>
      </c>
      <c r="AC787" t="s">
        <v>74</v>
      </c>
      <c r="AD787" t="s">
        <v>74</v>
      </c>
      <c r="AE787" t="s">
        <v>74</v>
      </c>
      <c r="AF787" t="s">
        <v>74</v>
      </c>
      <c r="AG787">
        <v>36</v>
      </c>
      <c r="AH787">
        <v>11</v>
      </c>
      <c r="AI787">
        <v>12</v>
      </c>
      <c r="AJ787">
        <v>0</v>
      </c>
      <c r="AK787">
        <v>12</v>
      </c>
      <c r="AL787" t="s">
        <v>1644</v>
      </c>
      <c r="AM787" t="s">
        <v>1645</v>
      </c>
      <c r="AN787" t="s">
        <v>1646</v>
      </c>
      <c r="AO787" t="s">
        <v>11254</v>
      </c>
      <c r="AP787" t="s">
        <v>11255</v>
      </c>
      <c r="AQ787" t="s">
        <v>74</v>
      </c>
      <c r="AR787" t="s">
        <v>11256</v>
      </c>
      <c r="AS787" t="s">
        <v>11257</v>
      </c>
      <c r="AT787" t="s">
        <v>10473</v>
      </c>
      <c r="AU787">
        <v>2004</v>
      </c>
      <c r="AV787">
        <v>37</v>
      </c>
      <c r="AW787">
        <v>2</v>
      </c>
      <c r="AX787" t="s">
        <v>74</v>
      </c>
      <c r="AY787" t="s">
        <v>74</v>
      </c>
      <c r="AZ787" t="s">
        <v>74</v>
      </c>
      <c r="BA787" t="s">
        <v>74</v>
      </c>
      <c r="BB787">
        <v>137</v>
      </c>
      <c r="BC787">
        <v>145</v>
      </c>
      <c r="BD787" t="s">
        <v>74</v>
      </c>
      <c r="BE787" t="s">
        <v>11258</v>
      </c>
      <c r="BF787" t="str">
        <f>HYPERLINK("http://dx.doi.org/10.1080/10236240410001705789","http://dx.doi.org/10.1080/10236240410001705789")</f>
        <v>http://dx.doi.org/10.1080/10236240410001705789</v>
      </c>
      <c r="BG787" t="s">
        <v>74</v>
      </c>
      <c r="BH787" t="s">
        <v>74</v>
      </c>
      <c r="BI787">
        <v>9</v>
      </c>
      <c r="BJ787" t="s">
        <v>1763</v>
      </c>
      <c r="BK787" t="s">
        <v>139</v>
      </c>
      <c r="BL787" t="s">
        <v>1763</v>
      </c>
      <c r="BM787" t="s">
        <v>11259</v>
      </c>
      <c r="BN787" t="s">
        <v>74</v>
      </c>
      <c r="BO787" t="s">
        <v>74</v>
      </c>
      <c r="BP787" t="s">
        <v>74</v>
      </c>
      <c r="BQ787" t="s">
        <v>74</v>
      </c>
      <c r="BR787" t="s">
        <v>98</v>
      </c>
      <c r="BS787" t="s">
        <v>11260</v>
      </c>
      <c r="BT787" t="str">
        <f>HYPERLINK("https%3A%2F%2Fwww.webofscience.com%2Fwos%2Fwoscc%2Ffull-record%2FWOS:000222240900006","View Full Record in Web of Science")</f>
        <v>View Full Record in Web of Science</v>
      </c>
    </row>
    <row r="788" spans="1:72" x14ac:dyDescent="0.15">
      <c r="A788" t="s">
        <v>122</v>
      </c>
      <c r="B788" t="s">
        <v>11261</v>
      </c>
      <c r="C788" t="s">
        <v>74</v>
      </c>
      <c r="D788" t="s">
        <v>74</v>
      </c>
      <c r="E788" t="s">
        <v>74</v>
      </c>
      <c r="F788" t="s">
        <v>11261</v>
      </c>
      <c r="G788" t="s">
        <v>74</v>
      </c>
      <c r="H788" t="s">
        <v>74</v>
      </c>
      <c r="I788" t="s">
        <v>11262</v>
      </c>
      <c r="J788" t="s">
        <v>1751</v>
      </c>
      <c r="K788" t="s">
        <v>74</v>
      </c>
      <c r="L788" t="s">
        <v>74</v>
      </c>
      <c r="M788" t="s">
        <v>79</v>
      </c>
      <c r="N788" t="s">
        <v>126</v>
      </c>
      <c r="O788" t="s">
        <v>74</v>
      </c>
      <c r="P788" t="s">
        <v>74</v>
      </c>
      <c r="Q788" t="s">
        <v>74</v>
      </c>
      <c r="R788" t="s">
        <v>74</v>
      </c>
      <c r="S788" t="s">
        <v>74</v>
      </c>
      <c r="T788" t="s">
        <v>74</v>
      </c>
      <c r="U788" t="s">
        <v>11263</v>
      </c>
      <c r="V788" t="s">
        <v>11264</v>
      </c>
      <c r="W788" t="s">
        <v>11265</v>
      </c>
      <c r="X788" t="s">
        <v>7678</v>
      </c>
      <c r="Y788" t="s">
        <v>11266</v>
      </c>
      <c r="Z788" t="s">
        <v>11267</v>
      </c>
      <c r="AA788" t="s">
        <v>4796</v>
      </c>
      <c r="AB788" t="s">
        <v>74</v>
      </c>
      <c r="AC788" t="s">
        <v>74</v>
      </c>
      <c r="AD788" t="s">
        <v>74</v>
      </c>
      <c r="AE788" t="s">
        <v>74</v>
      </c>
      <c r="AF788" t="s">
        <v>74</v>
      </c>
      <c r="AG788">
        <v>43</v>
      </c>
      <c r="AH788">
        <v>16</v>
      </c>
      <c r="AI788">
        <v>19</v>
      </c>
      <c r="AJ788">
        <v>1</v>
      </c>
      <c r="AK788">
        <v>13</v>
      </c>
      <c r="AL788" t="s">
        <v>1755</v>
      </c>
      <c r="AM788" t="s">
        <v>1756</v>
      </c>
      <c r="AN788" t="s">
        <v>1757</v>
      </c>
      <c r="AO788" t="s">
        <v>1758</v>
      </c>
      <c r="AP788" t="s">
        <v>1759</v>
      </c>
      <c r="AQ788" t="s">
        <v>74</v>
      </c>
      <c r="AR788" t="s">
        <v>1760</v>
      </c>
      <c r="AS788" t="s">
        <v>1761</v>
      </c>
      <c r="AT788" t="s">
        <v>10473</v>
      </c>
      <c r="AU788">
        <v>2004</v>
      </c>
      <c r="AV788">
        <v>144</v>
      </c>
      <c r="AW788">
        <v>6</v>
      </c>
      <c r="AX788" t="s">
        <v>74</v>
      </c>
      <c r="AY788" t="s">
        <v>74</v>
      </c>
      <c r="AZ788" t="s">
        <v>74</v>
      </c>
      <c r="BA788" t="s">
        <v>74</v>
      </c>
      <c r="BB788">
        <v>1141</v>
      </c>
      <c r="BC788">
        <v>1149</v>
      </c>
      <c r="BD788" t="s">
        <v>74</v>
      </c>
      <c r="BE788" t="s">
        <v>11268</v>
      </c>
      <c r="BF788" t="str">
        <f>HYPERLINK("http://dx.doi.org/10.1007/s00227-003-1289-z","http://dx.doi.org/10.1007/s00227-003-1289-z")</f>
        <v>http://dx.doi.org/10.1007/s00227-003-1289-z</v>
      </c>
      <c r="BG788" t="s">
        <v>74</v>
      </c>
      <c r="BH788" t="s">
        <v>74</v>
      </c>
      <c r="BI788">
        <v>9</v>
      </c>
      <c r="BJ788" t="s">
        <v>1763</v>
      </c>
      <c r="BK788" t="s">
        <v>139</v>
      </c>
      <c r="BL788" t="s">
        <v>1763</v>
      </c>
      <c r="BM788" t="s">
        <v>11269</v>
      </c>
      <c r="BN788" t="s">
        <v>74</v>
      </c>
      <c r="BO788" t="s">
        <v>74</v>
      </c>
      <c r="BP788" t="s">
        <v>74</v>
      </c>
      <c r="BQ788" t="s">
        <v>74</v>
      </c>
      <c r="BR788" t="s">
        <v>98</v>
      </c>
      <c r="BS788" t="s">
        <v>11270</v>
      </c>
      <c r="BT788" t="str">
        <f>HYPERLINK("https%3A%2F%2Fwww.webofscience.com%2Fwos%2Fwoscc%2Ffull-record%2FWOS:000221751300010","View Full Record in Web of Science")</f>
        <v>View Full Record in Web of Science</v>
      </c>
    </row>
    <row r="789" spans="1:72" x14ac:dyDescent="0.15">
      <c r="A789" t="s">
        <v>122</v>
      </c>
      <c r="B789" t="s">
        <v>11271</v>
      </c>
      <c r="C789" t="s">
        <v>74</v>
      </c>
      <c r="D789" t="s">
        <v>74</v>
      </c>
      <c r="E789" t="s">
        <v>74</v>
      </c>
      <c r="F789" t="s">
        <v>11271</v>
      </c>
      <c r="G789" t="s">
        <v>74</v>
      </c>
      <c r="H789" t="s">
        <v>74</v>
      </c>
      <c r="I789" t="s">
        <v>11272</v>
      </c>
      <c r="J789" t="s">
        <v>2360</v>
      </c>
      <c r="K789" t="s">
        <v>74</v>
      </c>
      <c r="L789" t="s">
        <v>74</v>
      </c>
      <c r="M789" t="s">
        <v>79</v>
      </c>
      <c r="N789" t="s">
        <v>126</v>
      </c>
      <c r="O789" t="s">
        <v>74</v>
      </c>
      <c r="P789" t="s">
        <v>74</v>
      </c>
      <c r="Q789" t="s">
        <v>74</v>
      </c>
      <c r="R789" t="s">
        <v>74</v>
      </c>
      <c r="S789" t="s">
        <v>74</v>
      </c>
      <c r="T789" t="s">
        <v>11273</v>
      </c>
      <c r="U789" t="s">
        <v>11274</v>
      </c>
      <c r="V789" t="s">
        <v>11275</v>
      </c>
      <c r="W789" t="s">
        <v>11276</v>
      </c>
      <c r="X789" t="s">
        <v>11277</v>
      </c>
      <c r="Y789" t="s">
        <v>11278</v>
      </c>
      <c r="Z789" t="s">
        <v>11279</v>
      </c>
      <c r="AA789" t="s">
        <v>11280</v>
      </c>
      <c r="AB789" t="s">
        <v>11281</v>
      </c>
      <c r="AC789" t="s">
        <v>74</v>
      </c>
      <c r="AD789" t="s">
        <v>74</v>
      </c>
      <c r="AE789" t="s">
        <v>74</v>
      </c>
      <c r="AF789" t="s">
        <v>74</v>
      </c>
      <c r="AG789">
        <v>29</v>
      </c>
      <c r="AH789">
        <v>51</v>
      </c>
      <c r="AI789">
        <v>56</v>
      </c>
      <c r="AJ789">
        <v>4</v>
      </c>
      <c r="AK789">
        <v>19</v>
      </c>
      <c r="AL789" t="s">
        <v>562</v>
      </c>
      <c r="AM789" t="s">
        <v>532</v>
      </c>
      <c r="AN789" t="s">
        <v>563</v>
      </c>
      <c r="AO789" t="s">
        <v>2370</v>
      </c>
      <c r="AP789" t="s">
        <v>2371</v>
      </c>
      <c r="AQ789" t="s">
        <v>74</v>
      </c>
      <c r="AR789" t="s">
        <v>2372</v>
      </c>
      <c r="AS789" t="s">
        <v>2373</v>
      </c>
      <c r="AT789" t="s">
        <v>10473</v>
      </c>
      <c r="AU789">
        <v>2004</v>
      </c>
      <c r="AV789">
        <v>87</v>
      </c>
      <c r="AW789" t="s">
        <v>2537</v>
      </c>
      <c r="AX789" t="s">
        <v>74</v>
      </c>
      <c r="AY789" t="s">
        <v>74</v>
      </c>
      <c r="AZ789" t="s">
        <v>74</v>
      </c>
      <c r="BA789" t="s">
        <v>74</v>
      </c>
      <c r="BB789">
        <v>59</v>
      </c>
      <c r="BC789">
        <v>71</v>
      </c>
      <c r="BD789" t="s">
        <v>74</v>
      </c>
      <c r="BE789" t="s">
        <v>11282</v>
      </c>
      <c r="BF789" t="str">
        <f>HYPERLINK("http://dx.doi.org/10.1016/j.marchem.2004.02.003","http://dx.doi.org/10.1016/j.marchem.2004.02.003")</f>
        <v>http://dx.doi.org/10.1016/j.marchem.2004.02.003</v>
      </c>
      <c r="BG789" t="s">
        <v>74</v>
      </c>
      <c r="BH789" t="s">
        <v>74</v>
      </c>
      <c r="BI789">
        <v>13</v>
      </c>
      <c r="BJ789" t="s">
        <v>2375</v>
      </c>
      <c r="BK789" t="s">
        <v>139</v>
      </c>
      <c r="BL789" t="s">
        <v>2376</v>
      </c>
      <c r="BM789" t="s">
        <v>11283</v>
      </c>
      <c r="BN789" t="s">
        <v>74</v>
      </c>
      <c r="BO789" t="s">
        <v>74</v>
      </c>
      <c r="BP789" t="s">
        <v>74</v>
      </c>
      <c r="BQ789" t="s">
        <v>74</v>
      </c>
      <c r="BR789" t="s">
        <v>98</v>
      </c>
      <c r="BS789" t="s">
        <v>11284</v>
      </c>
      <c r="BT789" t="str">
        <f>HYPERLINK("https%3A%2F%2Fwww.webofscience.com%2Fwos%2Fwoscc%2Ffull-record%2FWOS:000221015100005","View Full Record in Web of Science")</f>
        <v>View Full Record in Web of Science</v>
      </c>
    </row>
    <row r="790" spans="1:72" x14ac:dyDescent="0.15">
      <c r="A790" t="s">
        <v>122</v>
      </c>
      <c r="B790" t="s">
        <v>11285</v>
      </c>
      <c r="C790" t="s">
        <v>74</v>
      </c>
      <c r="D790" t="s">
        <v>74</v>
      </c>
      <c r="E790" t="s">
        <v>74</v>
      </c>
      <c r="F790" t="s">
        <v>11285</v>
      </c>
      <c r="G790" t="s">
        <v>74</v>
      </c>
      <c r="H790" t="s">
        <v>74</v>
      </c>
      <c r="I790" t="s">
        <v>11286</v>
      </c>
      <c r="J790" t="s">
        <v>1781</v>
      </c>
      <c r="K790" t="s">
        <v>74</v>
      </c>
      <c r="L790" t="s">
        <v>74</v>
      </c>
      <c r="M790" t="s">
        <v>79</v>
      </c>
      <c r="N790" t="s">
        <v>126</v>
      </c>
      <c r="O790" t="s">
        <v>74</v>
      </c>
      <c r="P790" t="s">
        <v>74</v>
      </c>
      <c r="Q790" t="s">
        <v>74</v>
      </c>
      <c r="R790" t="s">
        <v>74</v>
      </c>
      <c r="S790" t="s">
        <v>74</v>
      </c>
      <c r="T790" t="s">
        <v>11287</v>
      </c>
      <c r="U790" t="s">
        <v>11288</v>
      </c>
      <c r="V790" t="s">
        <v>11289</v>
      </c>
      <c r="W790" t="s">
        <v>11290</v>
      </c>
      <c r="X790" t="s">
        <v>11291</v>
      </c>
      <c r="Y790" t="s">
        <v>11292</v>
      </c>
      <c r="Z790" t="s">
        <v>11293</v>
      </c>
      <c r="AA790" t="s">
        <v>11294</v>
      </c>
      <c r="AB790" t="s">
        <v>11295</v>
      </c>
      <c r="AC790" t="s">
        <v>74</v>
      </c>
      <c r="AD790" t="s">
        <v>74</v>
      </c>
      <c r="AE790" t="s">
        <v>74</v>
      </c>
      <c r="AF790" t="s">
        <v>74</v>
      </c>
      <c r="AG790">
        <v>79</v>
      </c>
      <c r="AH790">
        <v>110</v>
      </c>
      <c r="AI790">
        <v>115</v>
      </c>
      <c r="AJ790">
        <v>1</v>
      </c>
      <c r="AK790">
        <v>89</v>
      </c>
      <c r="AL790" t="s">
        <v>1273</v>
      </c>
      <c r="AM790" t="s">
        <v>197</v>
      </c>
      <c r="AN790" t="s">
        <v>1274</v>
      </c>
      <c r="AO790" t="s">
        <v>1791</v>
      </c>
      <c r="AP790" t="s">
        <v>1792</v>
      </c>
      <c r="AQ790" t="s">
        <v>74</v>
      </c>
      <c r="AR790" t="s">
        <v>1793</v>
      </c>
      <c r="AS790" t="s">
        <v>1794</v>
      </c>
      <c r="AT790" t="s">
        <v>10473</v>
      </c>
      <c r="AU790">
        <v>2004</v>
      </c>
      <c r="AV790">
        <v>48</v>
      </c>
      <c r="AW790" t="s">
        <v>851</v>
      </c>
      <c r="AX790" t="s">
        <v>74</v>
      </c>
      <c r="AY790" t="s">
        <v>74</v>
      </c>
      <c r="AZ790" t="s">
        <v>74</v>
      </c>
      <c r="BA790" t="s">
        <v>74</v>
      </c>
      <c r="BB790">
        <v>1060</v>
      </c>
      <c r="BC790">
        <v>1075</v>
      </c>
      <c r="BD790" t="s">
        <v>74</v>
      </c>
      <c r="BE790" t="s">
        <v>11296</v>
      </c>
      <c r="BF790" t="str">
        <f>HYPERLINK("http://dx.doi.org/10.1016/j.marpolbul.2003.12.012","http://dx.doi.org/10.1016/j.marpolbul.2003.12.012")</f>
        <v>http://dx.doi.org/10.1016/j.marpolbul.2003.12.012</v>
      </c>
      <c r="BG790" t="s">
        <v>74</v>
      </c>
      <c r="BH790" t="s">
        <v>74</v>
      </c>
      <c r="BI790">
        <v>16</v>
      </c>
      <c r="BJ790" t="s">
        <v>1796</v>
      </c>
      <c r="BK790" t="s">
        <v>139</v>
      </c>
      <c r="BL790" t="s">
        <v>1797</v>
      </c>
      <c r="BM790" t="s">
        <v>11297</v>
      </c>
      <c r="BN790">
        <v>15172812</v>
      </c>
      <c r="BO790" t="s">
        <v>74</v>
      </c>
      <c r="BP790" t="s">
        <v>74</v>
      </c>
      <c r="BQ790" t="s">
        <v>74</v>
      </c>
      <c r="BR790" t="s">
        <v>98</v>
      </c>
      <c r="BS790" t="s">
        <v>11298</v>
      </c>
      <c r="BT790" t="str">
        <f>HYPERLINK("https%3A%2F%2Fwww.webofscience.com%2Fwos%2Fwoscc%2Ffull-record%2FWOS:000222230300018","View Full Record in Web of Science")</f>
        <v>View Full Record in Web of Science</v>
      </c>
    </row>
    <row r="791" spans="1:72" x14ac:dyDescent="0.15">
      <c r="A791" t="s">
        <v>122</v>
      </c>
      <c r="B791" t="s">
        <v>11299</v>
      </c>
      <c r="C791" t="s">
        <v>74</v>
      </c>
      <c r="D791" t="s">
        <v>74</v>
      </c>
      <c r="E791" t="s">
        <v>74</v>
      </c>
      <c r="F791" t="s">
        <v>11299</v>
      </c>
      <c r="G791" t="s">
        <v>74</v>
      </c>
      <c r="H791" t="s">
        <v>74</v>
      </c>
      <c r="I791" t="s">
        <v>11300</v>
      </c>
      <c r="J791" t="s">
        <v>1781</v>
      </c>
      <c r="K791" t="s">
        <v>74</v>
      </c>
      <c r="L791" t="s">
        <v>74</v>
      </c>
      <c r="M791" t="s">
        <v>79</v>
      </c>
      <c r="N791" t="s">
        <v>126</v>
      </c>
      <c r="O791" t="s">
        <v>74</v>
      </c>
      <c r="P791" t="s">
        <v>74</v>
      </c>
      <c r="Q791" t="s">
        <v>74</v>
      </c>
      <c r="R791" t="s">
        <v>74</v>
      </c>
      <c r="S791" t="s">
        <v>74</v>
      </c>
      <c r="T791" t="s">
        <v>11301</v>
      </c>
      <c r="U791" t="s">
        <v>11302</v>
      </c>
      <c r="V791" t="s">
        <v>11303</v>
      </c>
      <c r="W791" t="s">
        <v>11304</v>
      </c>
      <c r="X791" t="s">
        <v>11305</v>
      </c>
      <c r="Y791" t="s">
        <v>11306</v>
      </c>
      <c r="Z791" t="s">
        <v>11307</v>
      </c>
      <c r="AA791" t="s">
        <v>11308</v>
      </c>
      <c r="AB791" t="s">
        <v>11309</v>
      </c>
      <c r="AC791" t="s">
        <v>74</v>
      </c>
      <c r="AD791" t="s">
        <v>74</v>
      </c>
      <c r="AE791" t="s">
        <v>74</v>
      </c>
      <c r="AF791" t="s">
        <v>74</v>
      </c>
      <c r="AG791">
        <v>9</v>
      </c>
      <c r="AH791">
        <v>48</v>
      </c>
      <c r="AI791">
        <v>57</v>
      </c>
      <c r="AJ791">
        <v>0</v>
      </c>
      <c r="AK791">
        <v>14</v>
      </c>
      <c r="AL791" t="s">
        <v>1273</v>
      </c>
      <c r="AM791" t="s">
        <v>197</v>
      </c>
      <c r="AN791" t="s">
        <v>1274</v>
      </c>
      <c r="AO791" t="s">
        <v>1791</v>
      </c>
      <c r="AP791" t="s">
        <v>1792</v>
      </c>
      <c r="AQ791" t="s">
        <v>74</v>
      </c>
      <c r="AR791" t="s">
        <v>1793</v>
      </c>
      <c r="AS791" t="s">
        <v>1794</v>
      </c>
      <c r="AT791" t="s">
        <v>10473</v>
      </c>
      <c r="AU791">
        <v>2004</v>
      </c>
      <c r="AV791">
        <v>48</v>
      </c>
      <c r="AW791" t="s">
        <v>851</v>
      </c>
      <c r="AX791" t="s">
        <v>74</v>
      </c>
      <c r="AY791" t="s">
        <v>74</v>
      </c>
      <c r="AZ791" t="s">
        <v>74</v>
      </c>
      <c r="BA791" t="s">
        <v>74</v>
      </c>
      <c r="BB791">
        <v>1142</v>
      </c>
      <c r="BC791">
        <v>1144</v>
      </c>
      <c r="BD791" t="s">
        <v>74</v>
      </c>
      <c r="BE791" t="s">
        <v>11310</v>
      </c>
      <c r="BF791" t="str">
        <f>HYPERLINK("http://dx.doi.org/10.1016/j.marpolbul.2004.03.004","http://dx.doi.org/10.1016/j.marpolbul.2004.03.004")</f>
        <v>http://dx.doi.org/10.1016/j.marpolbul.2004.03.004</v>
      </c>
      <c r="BG791" t="s">
        <v>74</v>
      </c>
      <c r="BH791" t="s">
        <v>74</v>
      </c>
      <c r="BI791">
        <v>3</v>
      </c>
      <c r="BJ791" t="s">
        <v>1796</v>
      </c>
      <c r="BK791" t="s">
        <v>139</v>
      </c>
      <c r="BL791" t="s">
        <v>1797</v>
      </c>
      <c r="BM791" t="s">
        <v>11297</v>
      </c>
      <c r="BN791">
        <v>15172820</v>
      </c>
      <c r="BO791" t="s">
        <v>74</v>
      </c>
      <c r="BP791" t="s">
        <v>74</v>
      </c>
      <c r="BQ791" t="s">
        <v>74</v>
      </c>
      <c r="BR791" t="s">
        <v>98</v>
      </c>
      <c r="BS791" t="s">
        <v>11311</v>
      </c>
      <c r="BT791" t="str">
        <f>HYPERLINK("https%3A%2F%2Fwww.webofscience.com%2Fwos%2Fwoscc%2Ffull-record%2FWOS:000222230300026","View Full Record in Web of Science")</f>
        <v>View Full Record in Web of Science</v>
      </c>
    </row>
    <row r="792" spans="1:72" x14ac:dyDescent="0.15">
      <c r="A792" t="s">
        <v>122</v>
      </c>
      <c r="B792" t="s">
        <v>11312</v>
      </c>
      <c r="C792" t="s">
        <v>74</v>
      </c>
      <c r="D792" t="s">
        <v>74</v>
      </c>
      <c r="E792" t="s">
        <v>74</v>
      </c>
      <c r="F792" t="s">
        <v>11312</v>
      </c>
      <c r="G792" t="s">
        <v>74</v>
      </c>
      <c r="H792" t="s">
        <v>74</v>
      </c>
      <c r="I792" t="s">
        <v>11313</v>
      </c>
      <c r="J792" t="s">
        <v>11314</v>
      </c>
      <c r="K792" t="s">
        <v>74</v>
      </c>
      <c r="L792" t="s">
        <v>74</v>
      </c>
      <c r="M792" t="s">
        <v>79</v>
      </c>
      <c r="N792" t="s">
        <v>126</v>
      </c>
      <c r="O792" t="s">
        <v>74</v>
      </c>
      <c r="P792" t="s">
        <v>74</v>
      </c>
      <c r="Q792" t="s">
        <v>74</v>
      </c>
      <c r="R792" t="s">
        <v>74</v>
      </c>
      <c r="S792" t="s">
        <v>74</v>
      </c>
      <c r="T792" t="s">
        <v>74</v>
      </c>
      <c r="U792" t="s">
        <v>11315</v>
      </c>
      <c r="V792" t="s">
        <v>11316</v>
      </c>
      <c r="W792" t="s">
        <v>11317</v>
      </c>
      <c r="X792" t="s">
        <v>11318</v>
      </c>
      <c r="Y792" t="s">
        <v>11319</v>
      </c>
      <c r="Z792" t="s">
        <v>11320</v>
      </c>
      <c r="AA792" t="s">
        <v>74</v>
      </c>
      <c r="AB792" t="s">
        <v>74</v>
      </c>
      <c r="AC792" t="s">
        <v>74</v>
      </c>
      <c r="AD792" t="s">
        <v>74</v>
      </c>
      <c r="AE792" t="s">
        <v>74</v>
      </c>
      <c r="AF792" t="s">
        <v>74</v>
      </c>
      <c r="AG792">
        <v>50</v>
      </c>
      <c r="AH792">
        <v>35</v>
      </c>
      <c r="AI792">
        <v>39</v>
      </c>
      <c r="AJ792">
        <v>0</v>
      </c>
      <c r="AK792">
        <v>9</v>
      </c>
      <c r="AL792" t="s">
        <v>11321</v>
      </c>
      <c r="AM792" t="s">
        <v>11322</v>
      </c>
      <c r="AN792" t="s">
        <v>11323</v>
      </c>
      <c r="AO792" t="s">
        <v>11324</v>
      </c>
      <c r="AP792" t="s">
        <v>11325</v>
      </c>
      <c r="AQ792" t="s">
        <v>74</v>
      </c>
      <c r="AR792" t="s">
        <v>11314</v>
      </c>
      <c r="AS792" t="s">
        <v>11326</v>
      </c>
      <c r="AT792" t="s">
        <v>11327</v>
      </c>
      <c r="AU792">
        <v>2004</v>
      </c>
      <c r="AV792">
        <v>50</v>
      </c>
      <c r="AW792">
        <v>2</v>
      </c>
      <c r="AX792" t="s">
        <v>74</v>
      </c>
      <c r="AY792" t="s">
        <v>74</v>
      </c>
      <c r="AZ792" t="s">
        <v>74</v>
      </c>
      <c r="BA792" t="s">
        <v>74</v>
      </c>
      <c r="BB792">
        <v>179</v>
      </c>
      <c r="BC792">
        <v>194</v>
      </c>
      <c r="BD792" t="s">
        <v>74</v>
      </c>
      <c r="BE792" t="s">
        <v>11328</v>
      </c>
      <c r="BF792" t="str">
        <f>HYPERLINK("http://dx.doi.org/10.1661/0026-2803(2004)050[0179:MOEOTI]2.0.CO;2","http://dx.doi.org/10.1661/0026-2803(2004)050[0179:MOEOTI]2.0.CO;2")</f>
        <v>http://dx.doi.org/10.1661/0026-2803(2004)050[0179:MOEOTI]2.0.CO;2</v>
      </c>
      <c r="BG792" t="s">
        <v>74</v>
      </c>
      <c r="BH792" t="s">
        <v>74</v>
      </c>
      <c r="BI792">
        <v>16</v>
      </c>
      <c r="BJ792" t="s">
        <v>4627</v>
      </c>
      <c r="BK792" t="s">
        <v>139</v>
      </c>
      <c r="BL792" t="s">
        <v>4627</v>
      </c>
      <c r="BM792" t="s">
        <v>11329</v>
      </c>
      <c r="BN792" t="s">
        <v>74</v>
      </c>
      <c r="BO792" t="s">
        <v>74</v>
      </c>
      <c r="BP792" t="s">
        <v>74</v>
      </c>
      <c r="BQ792" t="s">
        <v>74</v>
      </c>
      <c r="BR792" t="s">
        <v>98</v>
      </c>
      <c r="BS792" t="s">
        <v>11330</v>
      </c>
      <c r="BT792" t="str">
        <f>HYPERLINK("https%3A%2F%2Fwww.webofscience.com%2Fwos%2Fwoscc%2Ffull-record%2FWOS:000224196700003","View Full Record in Web of Science")</f>
        <v>View Full Record in Web of Science</v>
      </c>
    </row>
    <row r="793" spans="1:72" x14ac:dyDescent="0.15">
      <c r="A793" t="s">
        <v>122</v>
      </c>
      <c r="B793" t="s">
        <v>11331</v>
      </c>
      <c r="C793" t="s">
        <v>74</v>
      </c>
      <c r="D793" t="s">
        <v>74</v>
      </c>
      <c r="E793" t="s">
        <v>74</v>
      </c>
      <c r="F793" t="s">
        <v>11331</v>
      </c>
      <c r="G793" t="s">
        <v>74</v>
      </c>
      <c r="H793" t="s">
        <v>74</v>
      </c>
      <c r="I793" t="s">
        <v>11332</v>
      </c>
      <c r="J793" t="s">
        <v>8091</v>
      </c>
      <c r="K793" t="s">
        <v>74</v>
      </c>
      <c r="L793" t="s">
        <v>74</v>
      </c>
      <c r="M793" t="s">
        <v>79</v>
      </c>
      <c r="N793" t="s">
        <v>1129</v>
      </c>
      <c r="O793" t="s">
        <v>11333</v>
      </c>
      <c r="P793" t="s">
        <v>11334</v>
      </c>
      <c r="Q793" t="s">
        <v>11335</v>
      </c>
      <c r="R793" t="s">
        <v>74</v>
      </c>
      <c r="S793" t="s">
        <v>74</v>
      </c>
      <c r="T793" t="s">
        <v>11336</v>
      </c>
      <c r="U793" t="s">
        <v>11337</v>
      </c>
      <c r="V793" t="s">
        <v>11338</v>
      </c>
      <c r="W793" t="s">
        <v>11339</v>
      </c>
      <c r="X793" t="s">
        <v>11340</v>
      </c>
      <c r="Y793" t="s">
        <v>11341</v>
      </c>
      <c r="Z793" t="s">
        <v>11342</v>
      </c>
      <c r="AA793" t="s">
        <v>74</v>
      </c>
      <c r="AB793" t="s">
        <v>74</v>
      </c>
      <c r="AC793" t="s">
        <v>74</v>
      </c>
      <c r="AD793" t="s">
        <v>74</v>
      </c>
      <c r="AE793" t="s">
        <v>74</v>
      </c>
      <c r="AF793" t="s">
        <v>74</v>
      </c>
      <c r="AG793">
        <v>14</v>
      </c>
      <c r="AH793">
        <v>7</v>
      </c>
      <c r="AI793">
        <v>9</v>
      </c>
      <c r="AJ793">
        <v>0</v>
      </c>
      <c r="AK793">
        <v>2</v>
      </c>
      <c r="AL793" t="s">
        <v>562</v>
      </c>
      <c r="AM793" t="s">
        <v>532</v>
      </c>
      <c r="AN793" t="s">
        <v>563</v>
      </c>
      <c r="AO793" t="s">
        <v>8105</v>
      </c>
      <c r="AP793" t="s">
        <v>8106</v>
      </c>
      <c r="AQ793" t="s">
        <v>74</v>
      </c>
      <c r="AR793" t="s">
        <v>8107</v>
      </c>
      <c r="AS793" t="s">
        <v>8108</v>
      </c>
      <c r="AT793" t="s">
        <v>10473</v>
      </c>
      <c r="AU793">
        <v>2004</v>
      </c>
      <c r="AV793">
        <v>219</v>
      </c>
      <c r="AW793" t="s">
        <v>74</v>
      </c>
      <c r="AX793" t="s">
        <v>74</v>
      </c>
      <c r="AY793" t="s">
        <v>74</v>
      </c>
      <c r="AZ793" t="s">
        <v>74</v>
      </c>
      <c r="BA793" t="s">
        <v>74</v>
      </c>
      <c r="BB793">
        <v>171</v>
      </c>
      <c r="BC793">
        <v>175</v>
      </c>
      <c r="BD793" t="s">
        <v>74</v>
      </c>
      <c r="BE793" t="s">
        <v>11343</v>
      </c>
      <c r="BF793" t="str">
        <f>HYPERLINK("http://dx.doi.org/10.1016/j.nimb.2004.01.048","http://dx.doi.org/10.1016/j.nimb.2004.01.048")</f>
        <v>http://dx.doi.org/10.1016/j.nimb.2004.01.048</v>
      </c>
      <c r="BG793" t="s">
        <v>74</v>
      </c>
      <c r="BH793" t="s">
        <v>74</v>
      </c>
      <c r="BI793">
        <v>5</v>
      </c>
      <c r="BJ793" t="s">
        <v>8110</v>
      </c>
      <c r="BK793" t="s">
        <v>1257</v>
      </c>
      <c r="BL793" t="s">
        <v>8111</v>
      </c>
      <c r="BM793" t="s">
        <v>11344</v>
      </c>
      <c r="BN793" t="s">
        <v>74</v>
      </c>
      <c r="BO793" t="s">
        <v>74</v>
      </c>
      <c r="BP793" t="s">
        <v>74</v>
      </c>
      <c r="BQ793" t="s">
        <v>74</v>
      </c>
      <c r="BR793" t="s">
        <v>98</v>
      </c>
      <c r="BS793" t="s">
        <v>11345</v>
      </c>
      <c r="BT793" t="str">
        <f>HYPERLINK("https%3A%2F%2Fwww.webofscience.com%2Fwos%2Fwoscc%2Ffull-record%2FWOS:000221895800033","View Full Record in Web of Science")</f>
        <v>View Full Record in Web of Science</v>
      </c>
    </row>
    <row r="794" spans="1:72" x14ac:dyDescent="0.15">
      <c r="A794" t="s">
        <v>122</v>
      </c>
      <c r="B794" t="s">
        <v>11346</v>
      </c>
      <c r="C794" t="s">
        <v>74</v>
      </c>
      <c r="D794" t="s">
        <v>74</v>
      </c>
      <c r="E794" t="s">
        <v>74</v>
      </c>
      <c r="F794" t="s">
        <v>11346</v>
      </c>
      <c r="G794" t="s">
        <v>74</v>
      </c>
      <c r="H794" t="s">
        <v>74</v>
      </c>
      <c r="I794" t="s">
        <v>11347</v>
      </c>
      <c r="J794" t="s">
        <v>1912</v>
      </c>
      <c r="K794" t="s">
        <v>74</v>
      </c>
      <c r="L794" t="s">
        <v>74</v>
      </c>
      <c r="M794" t="s">
        <v>79</v>
      </c>
      <c r="N794" t="s">
        <v>126</v>
      </c>
      <c r="O794" t="s">
        <v>74</v>
      </c>
      <c r="P794" t="s">
        <v>74</v>
      </c>
      <c r="Q794" t="s">
        <v>74</v>
      </c>
      <c r="R794" t="s">
        <v>74</v>
      </c>
      <c r="S794" t="s">
        <v>74</v>
      </c>
      <c r="T794" t="s">
        <v>74</v>
      </c>
      <c r="U794" t="s">
        <v>11348</v>
      </c>
      <c r="V794" t="s">
        <v>11349</v>
      </c>
      <c r="W794" t="s">
        <v>11350</v>
      </c>
      <c r="X794" t="s">
        <v>11351</v>
      </c>
      <c r="Y794" t="s">
        <v>11352</v>
      </c>
      <c r="Z794" t="s">
        <v>11353</v>
      </c>
      <c r="AA794" t="s">
        <v>74</v>
      </c>
      <c r="AB794" t="s">
        <v>74</v>
      </c>
      <c r="AC794" t="s">
        <v>74</v>
      </c>
      <c r="AD794" t="s">
        <v>74</v>
      </c>
      <c r="AE794" t="s">
        <v>74</v>
      </c>
      <c r="AF794" t="s">
        <v>74</v>
      </c>
      <c r="AG794">
        <v>54</v>
      </c>
      <c r="AH794">
        <v>31</v>
      </c>
      <c r="AI794">
        <v>32</v>
      </c>
      <c r="AJ794">
        <v>0</v>
      </c>
      <c r="AK794">
        <v>20</v>
      </c>
      <c r="AL794" t="s">
        <v>11354</v>
      </c>
      <c r="AM794" t="s">
        <v>613</v>
      </c>
      <c r="AN794" t="s">
        <v>11355</v>
      </c>
      <c r="AO794" t="s">
        <v>1921</v>
      </c>
      <c r="AP794" t="s">
        <v>74</v>
      </c>
      <c r="AQ794" t="s">
        <v>74</v>
      </c>
      <c r="AR794" t="s">
        <v>1922</v>
      </c>
      <c r="AS794" t="s">
        <v>1923</v>
      </c>
      <c r="AT794" t="s">
        <v>10473</v>
      </c>
      <c r="AU794">
        <v>2004</v>
      </c>
      <c r="AV794">
        <v>27</v>
      </c>
      <c r="AW794">
        <v>7</v>
      </c>
      <c r="AX794" t="s">
        <v>74</v>
      </c>
      <c r="AY794" t="s">
        <v>74</v>
      </c>
      <c r="AZ794" t="s">
        <v>74</v>
      </c>
      <c r="BA794" t="s">
        <v>74</v>
      </c>
      <c r="BB794">
        <v>399</v>
      </c>
      <c r="BC794">
        <v>408</v>
      </c>
      <c r="BD794" t="s">
        <v>74</v>
      </c>
      <c r="BE794" t="s">
        <v>11356</v>
      </c>
      <c r="BF794" t="str">
        <f>HYPERLINK("http://dx.doi.org/10.1007/s00300-004-0606-4","http://dx.doi.org/10.1007/s00300-004-0606-4")</f>
        <v>http://dx.doi.org/10.1007/s00300-004-0606-4</v>
      </c>
      <c r="BG794" t="s">
        <v>74</v>
      </c>
      <c r="BH794" t="s">
        <v>74</v>
      </c>
      <c r="BI794">
        <v>10</v>
      </c>
      <c r="BJ794" t="s">
        <v>1491</v>
      </c>
      <c r="BK794" t="s">
        <v>139</v>
      </c>
      <c r="BL794" t="s">
        <v>1337</v>
      </c>
      <c r="BM794" t="s">
        <v>11357</v>
      </c>
      <c r="BN794" t="s">
        <v>74</v>
      </c>
      <c r="BO794" t="s">
        <v>74</v>
      </c>
      <c r="BP794" t="s">
        <v>74</v>
      </c>
      <c r="BQ794" t="s">
        <v>74</v>
      </c>
      <c r="BR794" t="s">
        <v>98</v>
      </c>
      <c r="BS794" t="s">
        <v>11358</v>
      </c>
      <c r="BT794" t="str">
        <f>HYPERLINK("https%3A%2F%2Fwww.webofscience.com%2Fwos%2Fwoscc%2Ffull-record%2FWOS:000221446900003","View Full Record in Web of Science")</f>
        <v>View Full Record in Web of Science</v>
      </c>
    </row>
    <row r="795" spans="1:72" x14ac:dyDescent="0.15">
      <c r="A795" t="s">
        <v>122</v>
      </c>
      <c r="B795" t="s">
        <v>11359</v>
      </c>
      <c r="C795" t="s">
        <v>74</v>
      </c>
      <c r="D795" t="s">
        <v>74</v>
      </c>
      <c r="E795" t="s">
        <v>74</v>
      </c>
      <c r="F795" t="s">
        <v>11359</v>
      </c>
      <c r="G795" t="s">
        <v>74</v>
      </c>
      <c r="H795" t="s">
        <v>74</v>
      </c>
      <c r="I795" t="s">
        <v>11360</v>
      </c>
      <c r="J795" t="s">
        <v>1912</v>
      </c>
      <c r="K795" t="s">
        <v>74</v>
      </c>
      <c r="L795" t="s">
        <v>74</v>
      </c>
      <c r="M795" t="s">
        <v>79</v>
      </c>
      <c r="N795" t="s">
        <v>126</v>
      </c>
      <c r="O795" t="s">
        <v>74</v>
      </c>
      <c r="P795" t="s">
        <v>74</v>
      </c>
      <c r="Q795" t="s">
        <v>74</v>
      </c>
      <c r="R795" t="s">
        <v>74</v>
      </c>
      <c r="S795" t="s">
        <v>74</v>
      </c>
      <c r="T795" t="s">
        <v>74</v>
      </c>
      <c r="U795" t="s">
        <v>11361</v>
      </c>
      <c r="V795" t="s">
        <v>11362</v>
      </c>
      <c r="W795" t="s">
        <v>11363</v>
      </c>
      <c r="X795" t="s">
        <v>11364</v>
      </c>
      <c r="Y795" t="s">
        <v>11365</v>
      </c>
      <c r="Z795" t="s">
        <v>11366</v>
      </c>
      <c r="AA795" t="s">
        <v>218</v>
      </c>
      <c r="AB795" t="s">
        <v>219</v>
      </c>
      <c r="AC795" t="s">
        <v>74</v>
      </c>
      <c r="AD795" t="s">
        <v>74</v>
      </c>
      <c r="AE795" t="s">
        <v>74</v>
      </c>
      <c r="AF795" t="s">
        <v>74</v>
      </c>
      <c r="AG795">
        <v>42</v>
      </c>
      <c r="AH795">
        <v>18</v>
      </c>
      <c r="AI795">
        <v>21</v>
      </c>
      <c r="AJ795">
        <v>0</v>
      </c>
      <c r="AK795">
        <v>4</v>
      </c>
      <c r="AL795" t="s">
        <v>1509</v>
      </c>
      <c r="AM795" t="s">
        <v>613</v>
      </c>
      <c r="AN795" t="s">
        <v>1948</v>
      </c>
      <c r="AO795" t="s">
        <v>1921</v>
      </c>
      <c r="AP795" t="s">
        <v>1937</v>
      </c>
      <c r="AQ795" t="s">
        <v>74</v>
      </c>
      <c r="AR795" t="s">
        <v>1922</v>
      </c>
      <c r="AS795" t="s">
        <v>1923</v>
      </c>
      <c r="AT795" t="s">
        <v>10473</v>
      </c>
      <c r="AU795">
        <v>2004</v>
      </c>
      <c r="AV795">
        <v>27</v>
      </c>
      <c r="AW795">
        <v>7</v>
      </c>
      <c r="AX795" t="s">
        <v>74</v>
      </c>
      <c r="AY795" t="s">
        <v>74</v>
      </c>
      <c r="AZ795" t="s">
        <v>74</v>
      </c>
      <c r="BA795" t="s">
        <v>74</v>
      </c>
      <c r="BB795">
        <v>418</v>
      </c>
      <c r="BC795">
        <v>422</v>
      </c>
      <c r="BD795" t="s">
        <v>74</v>
      </c>
      <c r="BE795" t="s">
        <v>11367</v>
      </c>
      <c r="BF795" t="str">
        <f>HYPERLINK("http://dx.doi.org/10.1007/s00300-004-0609-1","http://dx.doi.org/10.1007/s00300-004-0609-1")</f>
        <v>http://dx.doi.org/10.1007/s00300-004-0609-1</v>
      </c>
      <c r="BG795" t="s">
        <v>74</v>
      </c>
      <c r="BH795" t="s">
        <v>74</v>
      </c>
      <c r="BI795">
        <v>5</v>
      </c>
      <c r="BJ795" t="s">
        <v>1491</v>
      </c>
      <c r="BK795" t="s">
        <v>139</v>
      </c>
      <c r="BL795" t="s">
        <v>1337</v>
      </c>
      <c r="BM795" t="s">
        <v>11357</v>
      </c>
      <c r="BN795" t="s">
        <v>74</v>
      </c>
      <c r="BO795" t="s">
        <v>74</v>
      </c>
      <c r="BP795" t="s">
        <v>74</v>
      </c>
      <c r="BQ795" t="s">
        <v>74</v>
      </c>
      <c r="BR795" t="s">
        <v>98</v>
      </c>
      <c r="BS795" t="s">
        <v>11368</v>
      </c>
      <c r="BT795" t="str">
        <f>HYPERLINK("https%3A%2F%2Fwww.webofscience.com%2Fwos%2Fwoscc%2Ffull-record%2FWOS:000221446900005","View Full Record in Web of Science")</f>
        <v>View Full Record in Web of Science</v>
      </c>
    </row>
    <row r="796" spans="1:72" x14ac:dyDescent="0.15">
      <c r="A796" t="s">
        <v>122</v>
      </c>
      <c r="B796" t="s">
        <v>11369</v>
      </c>
      <c r="C796" t="s">
        <v>74</v>
      </c>
      <c r="D796" t="s">
        <v>74</v>
      </c>
      <c r="E796" t="s">
        <v>74</v>
      </c>
      <c r="F796" t="s">
        <v>11369</v>
      </c>
      <c r="G796" t="s">
        <v>74</v>
      </c>
      <c r="H796" t="s">
        <v>74</v>
      </c>
      <c r="I796" t="s">
        <v>11370</v>
      </c>
      <c r="J796" t="s">
        <v>1912</v>
      </c>
      <c r="K796" t="s">
        <v>74</v>
      </c>
      <c r="L796" t="s">
        <v>74</v>
      </c>
      <c r="M796" t="s">
        <v>79</v>
      </c>
      <c r="N796" t="s">
        <v>126</v>
      </c>
      <c r="O796" t="s">
        <v>74</v>
      </c>
      <c r="P796" t="s">
        <v>74</v>
      </c>
      <c r="Q796" t="s">
        <v>74</v>
      </c>
      <c r="R796" t="s">
        <v>74</v>
      </c>
      <c r="S796" t="s">
        <v>74</v>
      </c>
      <c r="T796" t="s">
        <v>74</v>
      </c>
      <c r="U796" t="s">
        <v>11371</v>
      </c>
      <c r="V796" t="s">
        <v>11372</v>
      </c>
      <c r="W796" t="s">
        <v>11373</v>
      </c>
      <c r="X796" t="s">
        <v>1786</v>
      </c>
      <c r="Y796" t="s">
        <v>11374</v>
      </c>
      <c r="Z796" t="s">
        <v>11375</v>
      </c>
      <c r="AA796" t="s">
        <v>11376</v>
      </c>
      <c r="AB796" t="s">
        <v>11377</v>
      </c>
      <c r="AC796" t="s">
        <v>74</v>
      </c>
      <c r="AD796" t="s">
        <v>74</v>
      </c>
      <c r="AE796" t="s">
        <v>74</v>
      </c>
      <c r="AF796" t="s">
        <v>74</v>
      </c>
      <c r="AG796">
        <v>61</v>
      </c>
      <c r="AH796">
        <v>23</v>
      </c>
      <c r="AI796">
        <v>25</v>
      </c>
      <c r="AJ796">
        <v>0</v>
      </c>
      <c r="AK796">
        <v>9</v>
      </c>
      <c r="AL796" t="s">
        <v>11354</v>
      </c>
      <c r="AM796" t="s">
        <v>613</v>
      </c>
      <c r="AN796" t="s">
        <v>11355</v>
      </c>
      <c r="AO796" t="s">
        <v>1921</v>
      </c>
      <c r="AP796" t="s">
        <v>74</v>
      </c>
      <c r="AQ796" t="s">
        <v>74</v>
      </c>
      <c r="AR796" t="s">
        <v>1922</v>
      </c>
      <c r="AS796" t="s">
        <v>1923</v>
      </c>
      <c r="AT796" t="s">
        <v>10473</v>
      </c>
      <c r="AU796">
        <v>2004</v>
      </c>
      <c r="AV796">
        <v>27</v>
      </c>
      <c r="AW796">
        <v>7</v>
      </c>
      <c r="AX796" t="s">
        <v>74</v>
      </c>
      <c r="AY796" t="s">
        <v>74</v>
      </c>
      <c r="AZ796" t="s">
        <v>74</v>
      </c>
      <c r="BA796" t="s">
        <v>74</v>
      </c>
      <c r="BB796">
        <v>432</v>
      </c>
      <c r="BC796">
        <v>440</v>
      </c>
      <c r="BD796" t="s">
        <v>74</v>
      </c>
      <c r="BE796" t="s">
        <v>11378</v>
      </c>
      <c r="BF796" t="str">
        <f>HYPERLINK("http://dx.doi.org/10.1007/s00300-004-0615-3","http://dx.doi.org/10.1007/s00300-004-0615-3")</f>
        <v>http://dx.doi.org/10.1007/s00300-004-0615-3</v>
      </c>
      <c r="BG796" t="s">
        <v>74</v>
      </c>
      <c r="BH796" t="s">
        <v>74</v>
      </c>
      <c r="BI796">
        <v>9</v>
      </c>
      <c r="BJ796" t="s">
        <v>1491</v>
      </c>
      <c r="BK796" t="s">
        <v>139</v>
      </c>
      <c r="BL796" t="s">
        <v>1337</v>
      </c>
      <c r="BM796" t="s">
        <v>11357</v>
      </c>
      <c r="BN796" t="s">
        <v>74</v>
      </c>
      <c r="BO796" t="s">
        <v>74</v>
      </c>
      <c r="BP796" t="s">
        <v>74</v>
      </c>
      <c r="BQ796" t="s">
        <v>74</v>
      </c>
      <c r="BR796" t="s">
        <v>98</v>
      </c>
      <c r="BS796" t="s">
        <v>11379</v>
      </c>
      <c r="BT796" t="str">
        <f>HYPERLINK("https%3A%2F%2Fwww.webofscience.com%2Fwos%2Fwoscc%2Ffull-record%2FWOS:000221446900007","View Full Record in Web of Science")</f>
        <v>View Full Record in Web of Science</v>
      </c>
    </row>
    <row r="797" spans="1:72" x14ac:dyDescent="0.15">
      <c r="A797" t="s">
        <v>122</v>
      </c>
      <c r="B797" t="s">
        <v>11380</v>
      </c>
      <c r="C797" t="s">
        <v>74</v>
      </c>
      <c r="D797" t="s">
        <v>74</v>
      </c>
      <c r="E797" t="s">
        <v>74</v>
      </c>
      <c r="F797" t="s">
        <v>11380</v>
      </c>
      <c r="G797" t="s">
        <v>74</v>
      </c>
      <c r="H797" t="s">
        <v>74</v>
      </c>
      <c r="I797" t="s">
        <v>11381</v>
      </c>
      <c r="J797" t="s">
        <v>1912</v>
      </c>
      <c r="K797" t="s">
        <v>74</v>
      </c>
      <c r="L797" t="s">
        <v>74</v>
      </c>
      <c r="M797" t="s">
        <v>79</v>
      </c>
      <c r="N797" t="s">
        <v>10885</v>
      </c>
      <c r="O797" t="s">
        <v>74</v>
      </c>
      <c r="P797" t="s">
        <v>74</v>
      </c>
      <c r="Q797" t="s">
        <v>74</v>
      </c>
      <c r="R797" t="s">
        <v>74</v>
      </c>
      <c r="S797" t="s">
        <v>74</v>
      </c>
      <c r="T797" t="s">
        <v>74</v>
      </c>
      <c r="U797" t="s">
        <v>74</v>
      </c>
      <c r="V797" t="s">
        <v>74</v>
      </c>
      <c r="W797" t="s">
        <v>11382</v>
      </c>
      <c r="X797" t="s">
        <v>10289</v>
      </c>
      <c r="Y797" t="s">
        <v>11383</v>
      </c>
      <c r="Z797" t="s">
        <v>10291</v>
      </c>
      <c r="AA797" t="s">
        <v>11384</v>
      </c>
      <c r="AB797" t="s">
        <v>11385</v>
      </c>
      <c r="AC797" t="s">
        <v>74</v>
      </c>
      <c r="AD797" t="s">
        <v>74</v>
      </c>
      <c r="AE797" t="s">
        <v>74</v>
      </c>
      <c r="AF797" t="s">
        <v>74</v>
      </c>
      <c r="AG797">
        <v>1</v>
      </c>
      <c r="AH797">
        <v>0</v>
      </c>
      <c r="AI797">
        <v>0</v>
      </c>
      <c r="AJ797">
        <v>0</v>
      </c>
      <c r="AK797">
        <v>3</v>
      </c>
      <c r="AL797" t="s">
        <v>1509</v>
      </c>
      <c r="AM797" t="s">
        <v>613</v>
      </c>
      <c r="AN797" t="s">
        <v>1948</v>
      </c>
      <c r="AO797" t="s">
        <v>1921</v>
      </c>
      <c r="AP797" t="s">
        <v>1937</v>
      </c>
      <c r="AQ797" t="s">
        <v>74</v>
      </c>
      <c r="AR797" t="s">
        <v>1922</v>
      </c>
      <c r="AS797" t="s">
        <v>1923</v>
      </c>
      <c r="AT797" t="s">
        <v>10473</v>
      </c>
      <c r="AU797">
        <v>2004</v>
      </c>
      <c r="AV797">
        <v>27</v>
      </c>
      <c r="AW797">
        <v>7</v>
      </c>
      <c r="AX797" t="s">
        <v>74</v>
      </c>
      <c r="AY797" t="s">
        <v>74</v>
      </c>
      <c r="AZ797" t="s">
        <v>74</v>
      </c>
      <c r="BA797" t="s">
        <v>74</v>
      </c>
      <c r="BB797">
        <v>445</v>
      </c>
      <c r="BC797">
        <v>445</v>
      </c>
      <c r="BD797" t="s">
        <v>74</v>
      </c>
      <c r="BE797" t="s">
        <v>11386</v>
      </c>
      <c r="BF797" t="str">
        <f>HYPERLINK("http://dx.doi.org/10.1007/s00300-004-0626-0","http://dx.doi.org/10.1007/s00300-004-0626-0")</f>
        <v>http://dx.doi.org/10.1007/s00300-004-0626-0</v>
      </c>
      <c r="BG797" t="s">
        <v>74</v>
      </c>
      <c r="BH797" t="s">
        <v>74</v>
      </c>
      <c r="BI797">
        <v>1</v>
      </c>
      <c r="BJ797" t="s">
        <v>1491</v>
      </c>
      <c r="BK797" t="s">
        <v>139</v>
      </c>
      <c r="BL797" t="s">
        <v>1337</v>
      </c>
      <c r="BM797" t="s">
        <v>11357</v>
      </c>
      <c r="BN797" t="s">
        <v>74</v>
      </c>
      <c r="BO797" t="s">
        <v>273</v>
      </c>
      <c r="BP797" t="s">
        <v>74</v>
      </c>
      <c r="BQ797" t="s">
        <v>74</v>
      </c>
      <c r="BR797" t="s">
        <v>98</v>
      </c>
      <c r="BS797" t="s">
        <v>11387</v>
      </c>
      <c r="BT797" t="str">
        <f>HYPERLINK("https%3A%2F%2Fwww.webofscience.com%2Fwos%2Fwoscc%2Ffull-record%2FWOS:000221446900009","View Full Record in Web of Science")</f>
        <v>View Full Record in Web of Science</v>
      </c>
    </row>
    <row r="798" spans="1:72" x14ac:dyDescent="0.15">
      <c r="A798" t="s">
        <v>122</v>
      </c>
      <c r="B798" t="s">
        <v>11388</v>
      </c>
      <c r="C798" t="s">
        <v>74</v>
      </c>
      <c r="D798" t="s">
        <v>74</v>
      </c>
      <c r="E798" t="s">
        <v>74</v>
      </c>
      <c r="F798" t="s">
        <v>11388</v>
      </c>
      <c r="G798" t="s">
        <v>74</v>
      </c>
      <c r="H798" t="s">
        <v>74</v>
      </c>
      <c r="I798" t="s">
        <v>11389</v>
      </c>
      <c r="J798" t="s">
        <v>11390</v>
      </c>
      <c r="K798" t="s">
        <v>74</v>
      </c>
      <c r="L798" t="s">
        <v>74</v>
      </c>
      <c r="M798" t="s">
        <v>79</v>
      </c>
      <c r="N798" t="s">
        <v>126</v>
      </c>
      <c r="O798" t="s">
        <v>74</v>
      </c>
      <c r="P798" t="s">
        <v>74</v>
      </c>
      <c r="Q798" t="s">
        <v>74</v>
      </c>
      <c r="R798" t="s">
        <v>74</v>
      </c>
      <c r="S798" t="s">
        <v>74</v>
      </c>
      <c r="T798" t="s">
        <v>11391</v>
      </c>
      <c r="U798" t="s">
        <v>11392</v>
      </c>
      <c r="V798" t="s">
        <v>11393</v>
      </c>
      <c r="W798" t="s">
        <v>11394</v>
      </c>
      <c r="X798" t="s">
        <v>11395</v>
      </c>
      <c r="Y798" t="s">
        <v>11396</v>
      </c>
      <c r="Z798" t="s">
        <v>11397</v>
      </c>
      <c r="AA798" t="s">
        <v>11398</v>
      </c>
      <c r="AB798" t="s">
        <v>11399</v>
      </c>
      <c r="AC798" t="s">
        <v>74</v>
      </c>
      <c r="AD798" t="s">
        <v>74</v>
      </c>
      <c r="AE798" t="s">
        <v>74</v>
      </c>
      <c r="AF798" t="s">
        <v>74</v>
      </c>
      <c r="AG798">
        <v>76</v>
      </c>
      <c r="AH798">
        <v>188</v>
      </c>
      <c r="AI798">
        <v>230</v>
      </c>
      <c r="AJ798">
        <v>0</v>
      </c>
      <c r="AK798">
        <v>36</v>
      </c>
      <c r="AL798" t="s">
        <v>196</v>
      </c>
      <c r="AM798" t="s">
        <v>197</v>
      </c>
      <c r="AN798" t="s">
        <v>198</v>
      </c>
      <c r="AO798" t="s">
        <v>11400</v>
      </c>
      <c r="AP798" t="s">
        <v>11401</v>
      </c>
      <c r="AQ798" t="s">
        <v>74</v>
      </c>
      <c r="AR798" t="s">
        <v>11402</v>
      </c>
      <c r="AS798" t="s">
        <v>11403</v>
      </c>
      <c r="AT798" t="s">
        <v>10473</v>
      </c>
      <c r="AU798">
        <v>2004</v>
      </c>
      <c r="AV798">
        <v>53</v>
      </c>
      <c r="AW798">
        <v>3</v>
      </c>
      <c r="AX798" t="s">
        <v>74</v>
      </c>
      <c r="AY798" t="s">
        <v>74</v>
      </c>
      <c r="AZ798" t="s">
        <v>74</v>
      </c>
      <c r="BA798" t="s">
        <v>74</v>
      </c>
      <c r="BB798">
        <v>433</v>
      </c>
      <c r="BC798">
        <v>447</v>
      </c>
      <c r="BD798" t="s">
        <v>74</v>
      </c>
      <c r="BE798" t="s">
        <v>11404</v>
      </c>
      <c r="BF798" t="str">
        <f>HYPERLINK("http://dx.doi.org/10.1080/10635150490445715","http://dx.doi.org/10.1080/10635150490445715")</f>
        <v>http://dx.doi.org/10.1080/10635150490445715</v>
      </c>
      <c r="BG798" t="s">
        <v>74</v>
      </c>
      <c r="BH798" t="s">
        <v>74</v>
      </c>
      <c r="BI798">
        <v>15</v>
      </c>
      <c r="BJ798" t="s">
        <v>11405</v>
      </c>
      <c r="BK798" t="s">
        <v>139</v>
      </c>
      <c r="BL798" t="s">
        <v>11405</v>
      </c>
      <c r="BM798" t="s">
        <v>11406</v>
      </c>
      <c r="BN798">
        <v>15503672</v>
      </c>
      <c r="BO798" t="s">
        <v>1866</v>
      </c>
      <c r="BP798" t="s">
        <v>74</v>
      </c>
      <c r="BQ798" t="s">
        <v>74</v>
      </c>
      <c r="BR798" t="s">
        <v>98</v>
      </c>
      <c r="BS798" t="s">
        <v>11407</v>
      </c>
      <c r="BT798" t="str">
        <f>HYPERLINK("https%3A%2F%2Fwww.webofscience.com%2Fwos%2Fwoscc%2Ffull-record%2FWOS:000222351000005","View Full Record in Web of Science")</f>
        <v>View Full Record in Web of Science</v>
      </c>
    </row>
    <row r="799" spans="1:72" x14ac:dyDescent="0.15">
      <c r="A799" t="s">
        <v>122</v>
      </c>
      <c r="B799" t="s">
        <v>11408</v>
      </c>
      <c r="C799" t="s">
        <v>74</v>
      </c>
      <c r="D799" t="s">
        <v>74</v>
      </c>
      <c r="E799" t="s">
        <v>74</v>
      </c>
      <c r="F799" t="s">
        <v>11408</v>
      </c>
      <c r="G799" t="s">
        <v>74</v>
      </c>
      <c r="H799" t="s">
        <v>74</v>
      </c>
      <c r="I799" t="s">
        <v>11409</v>
      </c>
      <c r="J799" t="s">
        <v>11410</v>
      </c>
      <c r="K799" t="s">
        <v>74</v>
      </c>
      <c r="L799" t="s">
        <v>74</v>
      </c>
      <c r="M799" t="s">
        <v>79</v>
      </c>
      <c r="N799" t="s">
        <v>126</v>
      </c>
      <c r="O799" t="s">
        <v>74</v>
      </c>
      <c r="P799" t="s">
        <v>74</v>
      </c>
      <c r="Q799" t="s">
        <v>74</v>
      </c>
      <c r="R799" t="s">
        <v>74</v>
      </c>
      <c r="S799" t="s">
        <v>74</v>
      </c>
      <c r="T799" t="s">
        <v>11411</v>
      </c>
      <c r="U799" t="s">
        <v>11412</v>
      </c>
      <c r="V799" t="s">
        <v>11413</v>
      </c>
      <c r="W799" t="s">
        <v>11414</v>
      </c>
      <c r="X799" t="s">
        <v>11415</v>
      </c>
      <c r="Y799" t="s">
        <v>11416</v>
      </c>
      <c r="Z799" t="s">
        <v>11417</v>
      </c>
      <c r="AA799" t="s">
        <v>74</v>
      </c>
      <c r="AB799" t="s">
        <v>11418</v>
      </c>
      <c r="AC799" t="s">
        <v>74</v>
      </c>
      <c r="AD799" t="s">
        <v>74</v>
      </c>
      <c r="AE799" t="s">
        <v>74</v>
      </c>
      <c r="AF799" t="s">
        <v>74</v>
      </c>
      <c r="AG799">
        <v>71</v>
      </c>
      <c r="AH799">
        <v>7</v>
      </c>
      <c r="AI799">
        <v>11</v>
      </c>
      <c r="AJ799">
        <v>0</v>
      </c>
      <c r="AK799">
        <v>6</v>
      </c>
      <c r="AL799" t="s">
        <v>11419</v>
      </c>
      <c r="AM799" t="s">
        <v>11420</v>
      </c>
      <c r="AN799" t="s">
        <v>11421</v>
      </c>
      <c r="AO799" t="s">
        <v>11422</v>
      </c>
      <c r="AP799" t="s">
        <v>74</v>
      </c>
      <c r="AQ799" t="s">
        <v>74</v>
      </c>
      <c r="AR799" t="s">
        <v>11423</v>
      </c>
      <c r="AS799" t="s">
        <v>11424</v>
      </c>
      <c r="AT799" t="s">
        <v>11425</v>
      </c>
      <c r="AU799">
        <v>2004</v>
      </c>
      <c r="AV799">
        <v>54</v>
      </c>
      <c r="AW799" t="s">
        <v>1447</v>
      </c>
      <c r="AX799" t="s">
        <v>74</v>
      </c>
      <c r="AY799" t="s">
        <v>74</v>
      </c>
      <c r="AZ799" t="s">
        <v>74</v>
      </c>
      <c r="BA799" t="s">
        <v>74</v>
      </c>
      <c r="BB799">
        <v>91</v>
      </c>
      <c r="BC799">
        <v>103</v>
      </c>
      <c r="BD799" t="s">
        <v>74</v>
      </c>
      <c r="BE799" t="s">
        <v>74</v>
      </c>
      <c r="BF799" t="s">
        <v>74</v>
      </c>
      <c r="BG799" t="s">
        <v>74</v>
      </c>
      <c r="BH799" t="s">
        <v>74</v>
      </c>
      <c r="BI799">
        <v>13</v>
      </c>
      <c r="BJ799" t="s">
        <v>3942</v>
      </c>
      <c r="BK799" t="s">
        <v>139</v>
      </c>
      <c r="BL799" t="s">
        <v>1797</v>
      </c>
      <c r="BM799" t="s">
        <v>11426</v>
      </c>
      <c r="BN799" t="s">
        <v>74</v>
      </c>
      <c r="BO799" t="s">
        <v>74</v>
      </c>
      <c r="BP799" t="s">
        <v>74</v>
      </c>
      <c r="BQ799" t="s">
        <v>74</v>
      </c>
      <c r="BR799" t="s">
        <v>98</v>
      </c>
      <c r="BS799" t="s">
        <v>11427</v>
      </c>
      <c r="BT799" t="str">
        <f>HYPERLINK("https%3A%2F%2Fwww.webofscience.com%2Fwos%2Fwoscc%2Ffull-record%2FWOS:000224680700004","View Full Record in Web of Science")</f>
        <v>View Full Record in Web of Science</v>
      </c>
    </row>
    <row r="800" spans="1:72" x14ac:dyDescent="0.15">
      <c r="A800" t="s">
        <v>122</v>
      </c>
      <c r="B800" t="s">
        <v>11428</v>
      </c>
      <c r="C800" t="s">
        <v>74</v>
      </c>
      <c r="D800" t="s">
        <v>74</v>
      </c>
      <c r="E800" t="s">
        <v>74</v>
      </c>
      <c r="F800" t="s">
        <v>11428</v>
      </c>
      <c r="G800" t="s">
        <v>74</v>
      </c>
      <c r="H800" t="s">
        <v>74</v>
      </c>
      <c r="I800" t="s">
        <v>11429</v>
      </c>
      <c r="J800" t="s">
        <v>11410</v>
      </c>
      <c r="K800" t="s">
        <v>74</v>
      </c>
      <c r="L800" t="s">
        <v>74</v>
      </c>
      <c r="M800" t="s">
        <v>79</v>
      </c>
      <c r="N800" t="s">
        <v>126</v>
      </c>
      <c r="O800" t="s">
        <v>74</v>
      </c>
      <c r="P800" t="s">
        <v>74</v>
      </c>
      <c r="Q800" t="s">
        <v>74</v>
      </c>
      <c r="R800" t="s">
        <v>74</v>
      </c>
      <c r="S800" t="s">
        <v>74</v>
      </c>
      <c r="T800" t="s">
        <v>11430</v>
      </c>
      <c r="U800" t="s">
        <v>11431</v>
      </c>
      <c r="V800" t="s">
        <v>11432</v>
      </c>
      <c r="W800" t="s">
        <v>11433</v>
      </c>
      <c r="X800" t="s">
        <v>7384</v>
      </c>
      <c r="Y800" t="s">
        <v>11434</v>
      </c>
      <c r="Z800" t="s">
        <v>11435</v>
      </c>
      <c r="AA800" t="s">
        <v>74</v>
      </c>
      <c r="AB800" t="s">
        <v>74</v>
      </c>
      <c r="AC800" t="s">
        <v>74</v>
      </c>
      <c r="AD800" t="s">
        <v>74</v>
      </c>
      <c r="AE800" t="s">
        <v>74</v>
      </c>
      <c r="AF800" t="s">
        <v>74</v>
      </c>
      <c r="AG800">
        <v>89</v>
      </c>
      <c r="AH800">
        <v>49</v>
      </c>
      <c r="AI800">
        <v>55</v>
      </c>
      <c r="AJ800">
        <v>1</v>
      </c>
      <c r="AK800">
        <v>14</v>
      </c>
      <c r="AL800" t="s">
        <v>11419</v>
      </c>
      <c r="AM800" t="s">
        <v>11420</v>
      </c>
      <c r="AN800" t="s">
        <v>11421</v>
      </c>
      <c r="AO800" t="s">
        <v>11422</v>
      </c>
      <c r="AP800" t="s">
        <v>74</v>
      </c>
      <c r="AQ800" t="s">
        <v>74</v>
      </c>
      <c r="AR800" t="s">
        <v>11423</v>
      </c>
      <c r="AS800" t="s">
        <v>11424</v>
      </c>
      <c r="AT800" t="s">
        <v>11425</v>
      </c>
      <c r="AU800">
        <v>2004</v>
      </c>
      <c r="AV800">
        <v>54</v>
      </c>
      <c r="AW800" t="s">
        <v>1447</v>
      </c>
      <c r="AX800" t="s">
        <v>74</v>
      </c>
      <c r="AY800" t="s">
        <v>74</v>
      </c>
      <c r="AZ800" t="s">
        <v>74</v>
      </c>
      <c r="BA800" t="s">
        <v>74</v>
      </c>
      <c r="BB800">
        <v>137</v>
      </c>
      <c r="BC800">
        <v>143</v>
      </c>
      <c r="BD800" t="s">
        <v>74</v>
      </c>
      <c r="BE800" t="s">
        <v>74</v>
      </c>
      <c r="BF800" t="s">
        <v>74</v>
      </c>
      <c r="BG800" t="s">
        <v>74</v>
      </c>
      <c r="BH800" t="s">
        <v>74</v>
      </c>
      <c r="BI800">
        <v>7</v>
      </c>
      <c r="BJ800" t="s">
        <v>3942</v>
      </c>
      <c r="BK800" t="s">
        <v>139</v>
      </c>
      <c r="BL800" t="s">
        <v>1797</v>
      </c>
      <c r="BM800" t="s">
        <v>11426</v>
      </c>
      <c r="BN800" t="s">
        <v>74</v>
      </c>
      <c r="BO800" t="s">
        <v>74</v>
      </c>
      <c r="BP800" t="s">
        <v>74</v>
      </c>
      <c r="BQ800" t="s">
        <v>74</v>
      </c>
      <c r="BR800" t="s">
        <v>98</v>
      </c>
      <c r="BS800" t="s">
        <v>11436</v>
      </c>
      <c r="BT800" t="str">
        <f>HYPERLINK("https%3A%2F%2Fwww.webofscience.com%2Fwos%2Fwoscc%2Ffull-record%2FWOS:000224680700008","View Full Record in Web of Science")</f>
        <v>View Full Record in Web of Science</v>
      </c>
    </row>
    <row r="801" spans="1:72" x14ac:dyDescent="0.15">
      <c r="A801" t="s">
        <v>122</v>
      </c>
      <c r="B801" t="s">
        <v>11437</v>
      </c>
      <c r="C801" t="s">
        <v>74</v>
      </c>
      <c r="D801" t="s">
        <v>74</v>
      </c>
      <c r="E801" t="s">
        <v>74</v>
      </c>
      <c r="F801" t="s">
        <v>11437</v>
      </c>
      <c r="G801" t="s">
        <v>74</v>
      </c>
      <c r="H801" t="s">
        <v>74</v>
      </c>
      <c r="I801" t="s">
        <v>11438</v>
      </c>
      <c r="J801" t="s">
        <v>11439</v>
      </c>
      <c r="K801" t="s">
        <v>74</v>
      </c>
      <c r="L801" t="s">
        <v>74</v>
      </c>
      <c r="M801" t="s">
        <v>79</v>
      </c>
      <c r="N801" t="s">
        <v>126</v>
      </c>
      <c r="O801" t="s">
        <v>74</v>
      </c>
      <c r="P801" t="s">
        <v>74</v>
      </c>
      <c r="Q801" t="s">
        <v>74</v>
      </c>
      <c r="R801" t="s">
        <v>74</v>
      </c>
      <c r="S801" t="s">
        <v>74</v>
      </c>
      <c r="T801" t="s">
        <v>11440</v>
      </c>
      <c r="U801" t="s">
        <v>11441</v>
      </c>
      <c r="V801" t="s">
        <v>11442</v>
      </c>
      <c r="W801" t="s">
        <v>11443</v>
      </c>
      <c r="X801" t="s">
        <v>748</v>
      </c>
      <c r="Y801" t="s">
        <v>11444</v>
      </c>
      <c r="Z801" t="s">
        <v>11445</v>
      </c>
      <c r="AA801" t="s">
        <v>74</v>
      </c>
      <c r="AB801" t="s">
        <v>74</v>
      </c>
      <c r="AC801" t="s">
        <v>74</v>
      </c>
      <c r="AD801" t="s">
        <v>74</v>
      </c>
      <c r="AE801" t="s">
        <v>74</v>
      </c>
      <c r="AF801" t="s">
        <v>74</v>
      </c>
      <c r="AG801">
        <v>26</v>
      </c>
      <c r="AH801">
        <v>38</v>
      </c>
      <c r="AI801">
        <v>43</v>
      </c>
      <c r="AJ801">
        <v>1</v>
      </c>
      <c r="AK801">
        <v>20</v>
      </c>
      <c r="AL801" t="s">
        <v>11446</v>
      </c>
      <c r="AM801" t="s">
        <v>3345</v>
      </c>
      <c r="AN801" t="s">
        <v>11447</v>
      </c>
      <c r="AO801" t="s">
        <v>11448</v>
      </c>
      <c r="AP801" t="s">
        <v>74</v>
      </c>
      <c r="AQ801" t="s">
        <v>74</v>
      </c>
      <c r="AR801" t="s">
        <v>11449</v>
      </c>
      <c r="AS801" t="s">
        <v>11450</v>
      </c>
      <c r="AT801" t="s">
        <v>11327</v>
      </c>
      <c r="AU801">
        <v>2004</v>
      </c>
      <c r="AV801">
        <v>32</v>
      </c>
      <c r="AW801">
        <v>2</v>
      </c>
      <c r="AX801" t="s">
        <v>74</v>
      </c>
      <c r="AY801" t="s">
        <v>74</v>
      </c>
      <c r="AZ801" t="s">
        <v>74</v>
      </c>
      <c r="BA801" t="s">
        <v>74</v>
      </c>
      <c r="BB801">
        <v>332</v>
      </c>
      <c r="BC801">
        <v>343</v>
      </c>
      <c r="BD801" t="s">
        <v>74</v>
      </c>
      <c r="BE801" t="s">
        <v>11451</v>
      </c>
      <c r="BF801" t="str">
        <f>HYPERLINK("http://dx.doi.org/10.2193/0091-7648(2004)32[332:IAOCAP]2.0.CO;2","http://dx.doi.org/10.2193/0091-7648(2004)32[332:IAOCAP]2.0.CO;2")</f>
        <v>http://dx.doi.org/10.2193/0091-7648(2004)32[332:IAOCAP]2.0.CO;2</v>
      </c>
      <c r="BG801" t="s">
        <v>74</v>
      </c>
      <c r="BH801" t="s">
        <v>74</v>
      </c>
      <c r="BI801">
        <v>12</v>
      </c>
      <c r="BJ801" t="s">
        <v>11452</v>
      </c>
      <c r="BK801" t="s">
        <v>139</v>
      </c>
      <c r="BL801" t="s">
        <v>11453</v>
      </c>
      <c r="BM801" t="s">
        <v>11454</v>
      </c>
      <c r="BN801" t="s">
        <v>74</v>
      </c>
      <c r="BO801" t="s">
        <v>74</v>
      </c>
      <c r="BP801" t="s">
        <v>74</v>
      </c>
      <c r="BQ801" t="s">
        <v>74</v>
      </c>
      <c r="BR801" t="s">
        <v>98</v>
      </c>
      <c r="BS801" t="s">
        <v>11455</v>
      </c>
      <c r="BT801" t="str">
        <f>HYPERLINK("https%3A%2F%2Fwww.webofscience.com%2Fwos%2Fwoscc%2Ffull-record%2FWOS:000222701800004","View Full Record in Web of Science")</f>
        <v>View Full Record in Web of Science</v>
      </c>
    </row>
    <row r="802" spans="1:72" x14ac:dyDescent="0.15">
      <c r="A802" t="s">
        <v>122</v>
      </c>
      <c r="B802" t="s">
        <v>11456</v>
      </c>
      <c r="C802" t="s">
        <v>74</v>
      </c>
      <c r="D802" t="s">
        <v>74</v>
      </c>
      <c r="E802" t="s">
        <v>74</v>
      </c>
      <c r="F802" t="s">
        <v>11456</v>
      </c>
      <c r="G802" t="s">
        <v>74</v>
      </c>
      <c r="H802" t="s">
        <v>74</v>
      </c>
      <c r="I802" t="s">
        <v>11457</v>
      </c>
      <c r="J802" t="s">
        <v>11458</v>
      </c>
      <c r="K802" t="s">
        <v>74</v>
      </c>
      <c r="L802" t="s">
        <v>74</v>
      </c>
      <c r="M802" t="s">
        <v>79</v>
      </c>
      <c r="N802" t="s">
        <v>126</v>
      </c>
      <c r="O802" t="s">
        <v>74</v>
      </c>
      <c r="P802" t="s">
        <v>74</v>
      </c>
      <c r="Q802" t="s">
        <v>74</v>
      </c>
      <c r="R802" t="s">
        <v>74</v>
      </c>
      <c r="S802" t="s">
        <v>74</v>
      </c>
      <c r="T802" t="s">
        <v>11459</v>
      </c>
      <c r="U802" t="s">
        <v>11460</v>
      </c>
      <c r="V802" t="s">
        <v>11461</v>
      </c>
      <c r="W802" t="s">
        <v>11462</v>
      </c>
      <c r="X802" t="s">
        <v>11463</v>
      </c>
      <c r="Y802" t="s">
        <v>11464</v>
      </c>
      <c r="Z802" t="s">
        <v>11465</v>
      </c>
      <c r="AA802" t="s">
        <v>74</v>
      </c>
      <c r="AB802" t="s">
        <v>74</v>
      </c>
      <c r="AC802" t="s">
        <v>74</v>
      </c>
      <c r="AD802" t="s">
        <v>74</v>
      </c>
      <c r="AE802" t="s">
        <v>74</v>
      </c>
      <c r="AF802" t="s">
        <v>74</v>
      </c>
      <c r="AG802">
        <v>21</v>
      </c>
      <c r="AH802">
        <v>43</v>
      </c>
      <c r="AI802">
        <v>51</v>
      </c>
      <c r="AJ802">
        <v>2</v>
      </c>
      <c r="AK802">
        <v>18</v>
      </c>
      <c r="AL802" t="s">
        <v>1509</v>
      </c>
      <c r="AM802" t="s">
        <v>1510</v>
      </c>
      <c r="AN802" t="s">
        <v>1511</v>
      </c>
      <c r="AO802" t="s">
        <v>11466</v>
      </c>
      <c r="AP802" t="s">
        <v>11467</v>
      </c>
      <c r="AQ802" t="s">
        <v>74</v>
      </c>
      <c r="AR802" t="s">
        <v>11468</v>
      </c>
      <c r="AS802" t="s">
        <v>11469</v>
      </c>
      <c r="AT802" t="s">
        <v>10473</v>
      </c>
      <c r="AU802">
        <v>2004</v>
      </c>
      <c r="AV802">
        <v>20</v>
      </c>
      <c r="AW802">
        <v>4</v>
      </c>
      <c r="AX802" t="s">
        <v>74</v>
      </c>
      <c r="AY802" t="s">
        <v>74</v>
      </c>
      <c r="AZ802" t="s">
        <v>74</v>
      </c>
      <c r="BA802" t="s">
        <v>74</v>
      </c>
      <c r="BB802">
        <v>435</v>
      </c>
      <c r="BC802">
        <v>439</v>
      </c>
      <c r="BD802" t="s">
        <v>74</v>
      </c>
      <c r="BE802" t="s">
        <v>11470</v>
      </c>
      <c r="BF802" t="str">
        <f>HYPERLINK("http://dx.doi.org/10.1023/B:WIBI.0000033068.45655.2a","http://dx.doi.org/10.1023/B:WIBI.0000033068.45655.2a")</f>
        <v>http://dx.doi.org/10.1023/B:WIBI.0000033068.45655.2a</v>
      </c>
      <c r="BG802" t="s">
        <v>74</v>
      </c>
      <c r="BH802" t="s">
        <v>74</v>
      </c>
      <c r="BI802">
        <v>5</v>
      </c>
      <c r="BJ802" t="s">
        <v>11471</v>
      </c>
      <c r="BK802" t="s">
        <v>139</v>
      </c>
      <c r="BL802" t="s">
        <v>11471</v>
      </c>
      <c r="BM802" t="s">
        <v>11472</v>
      </c>
      <c r="BN802" t="s">
        <v>74</v>
      </c>
      <c r="BO802" t="s">
        <v>74</v>
      </c>
      <c r="BP802" t="s">
        <v>74</v>
      </c>
      <c r="BQ802" t="s">
        <v>74</v>
      </c>
      <c r="BR802" t="s">
        <v>98</v>
      </c>
      <c r="BS802" t="s">
        <v>11473</v>
      </c>
      <c r="BT802" t="str">
        <f>HYPERLINK("https%3A%2F%2Fwww.webofscience.com%2Fwos%2Fwoscc%2Ffull-record%2FWOS:000222265200016","View Full Record in Web of Science")</f>
        <v>View Full Record in Web of Science</v>
      </c>
    </row>
    <row r="803" spans="1:72" x14ac:dyDescent="0.15">
      <c r="A803" t="s">
        <v>122</v>
      </c>
      <c r="B803" t="s">
        <v>11474</v>
      </c>
      <c r="C803" t="s">
        <v>74</v>
      </c>
      <c r="D803" t="s">
        <v>74</v>
      </c>
      <c r="E803" t="s">
        <v>74</v>
      </c>
      <c r="F803" t="s">
        <v>11474</v>
      </c>
      <c r="G803" t="s">
        <v>74</v>
      </c>
      <c r="H803" t="s">
        <v>74</v>
      </c>
      <c r="I803" t="s">
        <v>11475</v>
      </c>
      <c r="J803" t="s">
        <v>186</v>
      </c>
      <c r="K803" t="s">
        <v>74</v>
      </c>
      <c r="L803" t="s">
        <v>74</v>
      </c>
      <c r="M803" t="s">
        <v>79</v>
      </c>
      <c r="N803" t="s">
        <v>126</v>
      </c>
      <c r="O803" t="s">
        <v>74</v>
      </c>
      <c r="P803" t="s">
        <v>74</v>
      </c>
      <c r="Q803" t="s">
        <v>74</v>
      </c>
      <c r="R803" t="s">
        <v>74</v>
      </c>
      <c r="S803" t="s">
        <v>74</v>
      </c>
      <c r="T803" t="s">
        <v>11476</v>
      </c>
      <c r="U803" t="s">
        <v>11477</v>
      </c>
      <c r="V803" t="s">
        <v>11478</v>
      </c>
      <c r="W803" t="s">
        <v>11479</v>
      </c>
      <c r="X803" t="s">
        <v>11480</v>
      </c>
      <c r="Y803" t="s">
        <v>11481</v>
      </c>
      <c r="Z803" t="s">
        <v>11482</v>
      </c>
      <c r="AA803" t="s">
        <v>11483</v>
      </c>
      <c r="AB803" t="s">
        <v>11484</v>
      </c>
      <c r="AC803" t="s">
        <v>74</v>
      </c>
      <c r="AD803" t="s">
        <v>74</v>
      </c>
      <c r="AE803" t="s">
        <v>74</v>
      </c>
      <c r="AF803" t="s">
        <v>74</v>
      </c>
      <c r="AG803">
        <v>73</v>
      </c>
      <c r="AH803">
        <v>20</v>
      </c>
      <c r="AI803">
        <v>22</v>
      </c>
      <c r="AJ803">
        <v>0</v>
      </c>
      <c r="AK803">
        <v>7</v>
      </c>
      <c r="AL803" t="s">
        <v>196</v>
      </c>
      <c r="AM803" t="s">
        <v>197</v>
      </c>
      <c r="AN803" t="s">
        <v>198</v>
      </c>
      <c r="AO803" t="s">
        <v>199</v>
      </c>
      <c r="AP803" t="s">
        <v>200</v>
      </c>
      <c r="AQ803" t="s">
        <v>74</v>
      </c>
      <c r="AR803" t="s">
        <v>201</v>
      </c>
      <c r="AS803" t="s">
        <v>202</v>
      </c>
      <c r="AT803" t="s">
        <v>10473</v>
      </c>
      <c r="AU803">
        <v>2004</v>
      </c>
      <c r="AV803">
        <v>141</v>
      </c>
      <c r="AW803">
        <v>2</v>
      </c>
      <c r="AX803" t="s">
        <v>74</v>
      </c>
      <c r="AY803" t="s">
        <v>74</v>
      </c>
      <c r="AZ803" t="s">
        <v>74</v>
      </c>
      <c r="BA803" t="s">
        <v>74</v>
      </c>
      <c r="BB803">
        <v>271</v>
      </c>
      <c r="BC803">
        <v>296</v>
      </c>
      <c r="BD803" t="s">
        <v>74</v>
      </c>
      <c r="BE803" t="s">
        <v>11485</v>
      </c>
      <c r="BF803" t="str">
        <f>HYPERLINK("http://dx.doi.org/10.1111/j.1096-3642.2004.00124.x","http://dx.doi.org/10.1111/j.1096-3642.2004.00124.x")</f>
        <v>http://dx.doi.org/10.1111/j.1096-3642.2004.00124.x</v>
      </c>
      <c r="BG803" t="s">
        <v>74</v>
      </c>
      <c r="BH803" t="s">
        <v>74</v>
      </c>
      <c r="BI803">
        <v>26</v>
      </c>
      <c r="BJ803" t="s">
        <v>205</v>
      </c>
      <c r="BK803" t="s">
        <v>139</v>
      </c>
      <c r="BL803" t="s">
        <v>205</v>
      </c>
      <c r="BM803" t="s">
        <v>11486</v>
      </c>
      <c r="BN803" t="s">
        <v>74</v>
      </c>
      <c r="BO803" t="s">
        <v>771</v>
      </c>
      <c r="BP803" t="s">
        <v>74</v>
      </c>
      <c r="BQ803" t="s">
        <v>74</v>
      </c>
      <c r="BR803" t="s">
        <v>98</v>
      </c>
      <c r="BS803" t="s">
        <v>11487</v>
      </c>
      <c r="BT803" t="str">
        <f>HYPERLINK("https%3A%2F%2Fwww.webofscience.com%2Fwos%2Fwoscc%2Ffull-record%2FWOS:000222161600005","View Full Record in Web of Science")</f>
        <v>View Full Record in Web of Science</v>
      </c>
    </row>
    <row r="804" spans="1:72" x14ac:dyDescent="0.15">
      <c r="A804" t="s">
        <v>122</v>
      </c>
      <c r="B804" t="s">
        <v>11488</v>
      </c>
      <c r="C804" t="s">
        <v>74</v>
      </c>
      <c r="D804" t="s">
        <v>74</v>
      </c>
      <c r="E804" t="s">
        <v>74</v>
      </c>
      <c r="F804" t="s">
        <v>11488</v>
      </c>
      <c r="G804" t="s">
        <v>74</v>
      </c>
      <c r="H804" t="s">
        <v>74</v>
      </c>
      <c r="I804" t="s">
        <v>11489</v>
      </c>
      <c r="J804" t="s">
        <v>580</v>
      </c>
      <c r="K804" t="s">
        <v>74</v>
      </c>
      <c r="L804" t="s">
        <v>74</v>
      </c>
      <c r="M804" t="s">
        <v>79</v>
      </c>
      <c r="N804" t="s">
        <v>126</v>
      </c>
      <c r="O804" t="s">
        <v>74</v>
      </c>
      <c r="P804" t="s">
        <v>74</v>
      </c>
      <c r="Q804" t="s">
        <v>74</v>
      </c>
      <c r="R804" t="s">
        <v>74</v>
      </c>
      <c r="S804" t="s">
        <v>74</v>
      </c>
      <c r="T804" t="s">
        <v>11490</v>
      </c>
      <c r="U804" t="s">
        <v>11491</v>
      </c>
      <c r="V804" t="s">
        <v>11492</v>
      </c>
      <c r="W804" t="s">
        <v>11493</v>
      </c>
      <c r="X804" t="s">
        <v>11494</v>
      </c>
      <c r="Y804" t="s">
        <v>11495</v>
      </c>
      <c r="Z804" t="s">
        <v>11496</v>
      </c>
      <c r="AA804" t="s">
        <v>11497</v>
      </c>
      <c r="AB804" t="s">
        <v>11498</v>
      </c>
      <c r="AC804" t="s">
        <v>74</v>
      </c>
      <c r="AD804" t="s">
        <v>74</v>
      </c>
      <c r="AE804" t="s">
        <v>74</v>
      </c>
      <c r="AF804" t="s">
        <v>74</v>
      </c>
      <c r="AG804">
        <v>53</v>
      </c>
      <c r="AH804">
        <v>28</v>
      </c>
      <c r="AI804">
        <v>29</v>
      </c>
      <c r="AJ804">
        <v>0</v>
      </c>
      <c r="AK804">
        <v>7</v>
      </c>
      <c r="AL804" t="s">
        <v>562</v>
      </c>
      <c r="AM804" t="s">
        <v>532</v>
      </c>
      <c r="AN804" t="s">
        <v>563</v>
      </c>
      <c r="AO804" t="s">
        <v>591</v>
      </c>
      <c r="AP804" t="s">
        <v>74</v>
      </c>
      <c r="AQ804" t="s">
        <v>74</v>
      </c>
      <c r="AR804" t="s">
        <v>593</v>
      </c>
      <c r="AS804" t="s">
        <v>594</v>
      </c>
      <c r="AT804" t="s">
        <v>11499</v>
      </c>
      <c r="AU804">
        <v>2004</v>
      </c>
      <c r="AV804">
        <v>206</v>
      </c>
      <c r="AW804" t="s">
        <v>595</v>
      </c>
      <c r="AX804" t="s">
        <v>74</v>
      </c>
      <c r="AY804" t="s">
        <v>74</v>
      </c>
      <c r="AZ804">
        <v>1</v>
      </c>
      <c r="BA804" t="s">
        <v>74</v>
      </c>
      <c r="BB804">
        <v>19</v>
      </c>
      <c r="BC804">
        <v>40</v>
      </c>
      <c r="BD804" t="s">
        <v>74</v>
      </c>
      <c r="BE804" t="s">
        <v>11500</v>
      </c>
      <c r="BF804" t="str">
        <f>HYPERLINK("http://dx.doi.org/10.1016/j.margeo.2004.02.004","http://dx.doi.org/10.1016/j.margeo.2004.02.004")</f>
        <v>http://dx.doi.org/10.1016/j.margeo.2004.02.004</v>
      </c>
      <c r="BG804" t="s">
        <v>74</v>
      </c>
      <c r="BH804" t="s">
        <v>74</v>
      </c>
      <c r="BI804">
        <v>22</v>
      </c>
      <c r="BJ804" t="s">
        <v>597</v>
      </c>
      <c r="BK804" t="s">
        <v>139</v>
      </c>
      <c r="BL804" t="s">
        <v>598</v>
      </c>
      <c r="BM804" t="s">
        <v>11501</v>
      </c>
      <c r="BN804" t="s">
        <v>74</v>
      </c>
      <c r="BO804" t="s">
        <v>74</v>
      </c>
      <c r="BP804" t="s">
        <v>74</v>
      </c>
      <c r="BQ804" t="s">
        <v>74</v>
      </c>
      <c r="BR804" t="s">
        <v>98</v>
      </c>
      <c r="BS804" t="s">
        <v>11502</v>
      </c>
      <c r="BT804" t="str">
        <f>HYPERLINK("https%3A%2F%2Fwww.webofscience.com%2Fwos%2Fwoscc%2Ffull-record%2FWOS:000222257900002","View Full Record in Web of Science")</f>
        <v>View Full Record in Web of Science</v>
      </c>
    </row>
    <row r="805" spans="1:72" x14ac:dyDescent="0.15">
      <c r="A805" t="s">
        <v>122</v>
      </c>
      <c r="B805" t="s">
        <v>11503</v>
      </c>
      <c r="C805" t="s">
        <v>74</v>
      </c>
      <c r="D805" t="s">
        <v>74</v>
      </c>
      <c r="E805" t="s">
        <v>74</v>
      </c>
      <c r="F805" t="s">
        <v>11503</v>
      </c>
      <c r="G805" t="s">
        <v>74</v>
      </c>
      <c r="H805" t="s">
        <v>74</v>
      </c>
      <c r="I805" t="s">
        <v>11504</v>
      </c>
      <c r="J805" t="s">
        <v>580</v>
      </c>
      <c r="K805" t="s">
        <v>74</v>
      </c>
      <c r="L805" t="s">
        <v>74</v>
      </c>
      <c r="M805" t="s">
        <v>79</v>
      </c>
      <c r="N805" t="s">
        <v>126</v>
      </c>
      <c r="O805" t="s">
        <v>74</v>
      </c>
      <c r="P805" t="s">
        <v>74</v>
      </c>
      <c r="Q805" t="s">
        <v>74</v>
      </c>
      <c r="R805" t="s">
        <v>74</v>
      </c>
      <c r="S805" t="s">
        <v>74</v>
      </c>
      <c r="T805" t="s">
        <v>11505</v>
      </c>
      <c r="U805" t="s">
        <v>11506</v>
      </c>
      <c r="V805" t="s">
        <v>11507</v>
      </c>
      <c r="W805" t="s">
        <v>11508</v>
      </c>
      <c r="X805" t="s">
        <v>11509</v>
      </c>
      <c r="Y805" t="s">
        <v>11510</v>
      </c>
      <c r="Z805" t="s">
        <v>11511</v>
      </c>
      <c r="AA805" t="s">
        <v>11512</v>
      </c>
      <c r="AB805" t="s">
        <v>11513</v>
      </c>
      <c r="AC805" t="s">
        <v>74</v>
      </c>
      <c r="AD805" t="s">
        <v>74</v>
      </c>
      <c r="AE805" t="s">
        <v>74</v>
      </c>
      <c r="AF805" t="s">
        <v>74</v>
      </c>
      <c r="AG805">
        <v>67</v>
      </c>
      <c r="AH805">
        <v>22</v>
      </c>
      <c r="AI805">
        <v>24</v>
      </c>
      <c r="AJ805">
        <v>0</v>
      </c>
      <c r="AK805">
        <v>5</v>
      </c>
      <c r="AL805" t="s">
        <v>531</v>
      </c>
      <c r="AM805" t="s">
        <v>532</v>
      </c>
      <c r="AN805" t="s">
        <v>533</v>
      </c>
      <c r="AO805" t="s">
        <v>591</v>
      </c>
      <c r="AP805" t="s">
        <v>592</v>
      </c>
      <c r="AQ805" t="s">
        <v>74</v>
      </c>
      <c r="AR805" t="s">
        <v>593</v>
      </c>
      <c r="AS805" t="s">
        <v>594</v>
      </c>
      <c r="AT805" t="s">
        <v>11499</v>
      </c>
      <c r="AU805">
        <v>2004</v>
      </c>
      <c r="AV805">
        <v>206</v>
      </c>
      <c r="AW805" t="s">
        <v>595</v>
      </c>
      <c r="AX805" t="s">
        <v>74</v>
      </c>
      <c r="AY805" t="s">
        <v>74</v>
      </c>
      <c r="AZ805">
        <v>1</v>
      </c>
      <c r="BA805" t="s">
        <v>74</v>
      </c>
      <c r="BB805">
        <v>147</v>
      </c>
      <c r="BC805">
        <v>164</v>
      </c>
      <c r="BD805" t="s">
        <v>74</v>
      </c>
      <c r="BE805" t="s">
        <v>11514</v>
      </c>
      <c r="BF805" t="str">
        <f>HYPERLINK("http://dx.doi.org/10.1016/j.margeo.2004.01.008","http://dx.doi.org/10.1016/j.margeo.2004.01.008")</f>
        <v>http://dx.doi.org/10.1016/j.margeo.2004.01.008</v>
      </c>
      <c r="BG805" t="s">
        <v>74</v>
      </c>
      <c r="BH805" t="s">
        <v>74</v>
      </c>
      <c r="BI805">
        <v>18</v>
      </c>
      <c r="BJ805" t="s">
        <v>597</v>
      </c>
      <c r="BK805" t="s">
        <v>139</v>
      </c>
      <c r="BL805" t="s">
        <v>598</v>
      </c>
      <c r="BM805" t="s">
        <v>11501</v>
      </c>
      <c r="BN805" t="s">
        <v>74</v>
      </c>
      <c r="BO805" t="s">
        <v>74</v>
      </c>
      <c r="BP805" t="s">
        <v>74</v>
      </c>
      <c r="BQ805" t="s">
        <v>74</v>
      </c>
      <c r="BR805" t="s">
        <v>98</v>
      </c>
      <c r="BS805" t="s">
        <v>11515</v>
      </c>
      <c r="BT805" t="str">
        <f>HYPERLINK("https%3A%2F%2Fwww.webofscience.com%2Fwos%2Fwoscc%2Ffull-record%2FWOS:000222257900008","View Full Record in Web of Science")</f>
        <v>View Full Record in Web of Science</v>
      </c>
    </row>
    <row r="806" spans="1:72" x14ac:dyDescent="0.15">
      <c r="A806" t="s">
        <v>122</v>
      </c>
      <c r="B806" t="s">
        <v>11516</v>
      </c>
      <c r="C806" t="s">
        <v>74</v>
      </c>
      <c r="D806" t="s">
        <v>74</v>
      </c>
      <c r="E806" t="s">
        <v>74</v>
      </c>
      <c r="F806" t="s">
        <v>11516</v>
      </c>
      <c r="G806" t="s">
        <v>74</v>
      </c>
      <c r="H806" t="s">
        <v>74</v>
      </c>
      <c r="I806" t="s">
        <v>11517</v>
      </c>
      <c r="J806" t="s">
        <v>580</v>
      </c>
      <c r="K806" t="s">
        <v>74</v>
      </c>
      <c r="L806" t="s">
        <v>74</v>
      </c>
      <c r="M806" t="s">
        <v>79</v>
      </c>
      <c r="N806" t="s">
        <v>126</v>
      </c>
      <c r="O806" t="s">
        <v>74</v>
      </c>
      <c r="P806" t="s">
        <v>74</v>
      </c>
      <c r="Q806" t="s">
        <v>74</v>
      </c>
      <c r="R806" t="s">
        <v>74</v>
      </c>
      <c r="S806" t="s">
        <v>74</v>
      </c>
      <c r="T806" t="s">
        <v>11518</v>
      </c>
      <c r="U806" t="s">
        <v>11519</v>
      </c>
      <c r="V806" t="s">
        <v>11520</v>
      </c>
      <c r="W806" t="s">
        <v>11521</v>
      </c>
      <c r="X806" t="s">
        <v>11522</v>
      </c>
      <c r="Y806" t="s">
        <v>11523</v>
      </c>
      <c r="Z806" t="s">
        <v>11524</v>
      </c>
      <c r="AA806" t="s">
        <v>11525</v>
      </c>
      <c r="AB806" t="s">
        <v>11526</v>
      </c>
      <c r="AC806" t="s">
        <v>74</v>
      </c>
      <c r="AD806" t="s">
        <v>74</v>
      </c>
      <c r="AE806" t="s">
        <v>74</v>
      </c>
      <c r="AF806" t="s">
        <v>74</v>
      </c>
      <c r="AG806">
        <v>52</v>
      </c>
      <c r="AH806">
        <v>60</v>
      </c>
      <c r="AI806">
        <v>64</v>
      </c>
      <c r="AJ806">
        <v>1</v>
      </c>
      <c r="AK806">
        <v>9</v>
      </c>
      <c r="AL806" t="s">
        <v>531</v>
      </c>
      <c r="AM806" t="s">
        <v>532</v>
      </c>
      <c r="AN806" t="s">
        <v>533</v>
      </c>
      <c r="AO806" t="s">
        <v>591</v>
      </c>
      <c r="AP806" t="s">
        <v>592</v>
      </c>
      <c r="AQ806" t="s">
        <v>74</v>
      </c>
      <c r="AR806" t="s">
        <v>593</v>
      </c>
      <c r="AS806" t="s">
        <v>594</v>
      </c>
      <c r="AT806" t="s">
        <v>11499</v>
      </c>
      <c r="AU806">
        <v>2004</v>
      </c>
      <c r="AV806">
        <v>206</v>
      </c>
      <c r="AW806" t="s">
        <v>595</v>
      </c>
      <c r="AX806" t="s">
        <v>74</v>
      </c>
      <c r="AY806" t="s">
        <v>74</v>
      </c>
      <c r="AZ806">
        <v>1</v>
      </c>
      <c r="BA806" t="s">
        <v>74</v>
      </c>
      <c r="BB806">
        <v>267</v>
      </c>
      <c r="BC806">
        <v>282</v>
      </c>
      <c r="BD806" t="s">
        <v>74</v>
      </c>
      <c r="BE806" t="s">
        <v>11527</v>
      </c>
      <c r="BF806" t="str">
        <f>HYPERLINK("http://dx.doi.org/10.1016/j.margeo.2004.02.007","http://dx.doi.org/10.1016/j.margeo.2004.02.007")</f>
        <v>http://dx.doi.org/10.1016/j.margeo.2004.02.007</v>
      </c>
      <c r="BG806" t="s">
        <v>74</v>
      </c>
      <c r="BH806" t="s">
        <v>74</v>
      </c>
      <c r="BI806">
        <v>16</v>
      </c>
      <c r="BJ806" t="s">
        <v>597</v>
      </c>
      <c r="BK806" t="s">
        <v>139</v>
      </c>
      <c r="BL806" t="s">
        <v>598</v>
      </c>
      <c r="BM806" t="s">
        <v>11501</v>
      </c>
      <c r="BN806" t="s">
        <v>74</v>
      </c>
      <c r="BO806" t="s">
        <v>74</v>
      </c>
      <c r="BP806" t="s">
        <v>74</v>
      </c>
      <c r="BQ806" t="s">
        <v>74</v>
      </c>
      <c r="BR806" t="s">
        <v>98</v>
      </c>
      <c r="BS806" t="s">
        <v>11528</v>
      </c>
      <c r="BT806" t="str">
        <f>HYPERLINK("https%3A%2F%2Fwww.webofscience.com%2Fwos%2Fwoscc%2Ffull-record%2FWOS:000222257900014","View Full Record in Web of Science")</f>
        <v>View Full Record in Web of Science</v>
      </c>
    </row>
    <row r="807" spans="1:72" x14ac:dyDescent="0.15">
      <c r="A807" t="s">
        <v>122</v>
      </c>
      <c r="B807" t="s">
        <v>11529</v>
      </c>
      <c r="C807" t="s">
        <v>74</v>
      </c>
      <c r="D807" t="s">
        <v>74</v>
      </c>
      <c r="E807" t="s">
        <v>74</v>
      </c>
      <c r="F807" t="s">
        <v>11529</v>
      </c>
      <c r="G807" t="s">
        <v>74</v>
      </c>
      <c r="H807" t="s">
        <v>74</v>
      </c>
      <c r="I807" t="s">
        <v>11530</v>
      </c>
      <c r="J807" t="s">
        <v>2283</v>
      </c>
      <c r="K807" t="s">
        <v>74</v>
      </c>
      <c r="L807" t="s">
        <v>74</v>
      </c>
      <c r="M807" t="s">
        <v>79</v>
      </c>
      <c r="N807" t="s">
        <v>126</v>
      </c>
      <c r="O807" t="s">
        <v>74</v>
      </c>
      <c r="P807" t="s">
        <v>74</v>
      </c>
      <c r="Q807" t="s">
        <v>74</v>
      </c>
      <c r="R807" t="s">
        <v>74</v>
      </c>
      <c r="S807" t="s">
        <v>74</v>
      </c>
      <c r="T807" t="s">
        <v>11531</v>
      </c>
      <c r="U807" t="s">
        <v>11532</v>
      </c>
      <c r="V807" t="s">
        <v>11533</v>
      </c>
      <c r="W807" t="s">
        <v>11534</v>
      </c>
      <c r="X807" t="s">
        <v>11535</v>
      </c>
      <c r="Y807" t="s">
        <v>11536</v>
      </c>
      <c r="Z807" t="s">
        <v>11537</v>
      </c>
      <c r="AA807" t="s">
        <v>74</v>
      </c>
      <c r="AB807" t="s">
        <v>11538</v>
      </c>
      <c r="AC807" t="s">
        <v>74</v>
      </c>
      <c r="AD807" t="s">
        <v>74</v>
      </c>
      <c r="AE807" t="s">
        <v>74</v>
      </c>
      <c r="AF807" t="s">
        <v>74</v>
      </c>
      <c r="AG807">
        <v>56</v>
      </c>
      <c r="AH807">
        <v>57</v>
      </c>
      <c r="AI807">
        <v>60</v>
      </c>
      <c r="AJ807">
        <v>0</v>
      </c>
      <c r="AK807">
        <v>22</v>
      </c>
      <c r="AL807" t="s">
        <v>531</v>
      </c>
      <c r="AM807" t="s">
        <v>532</v>
      </c>
      <c r="AN807" t="s">
        <v>533</v>
      </c>
      <c r="AO807" t="s">
        <v>2294</v>
      </c>
      <c r="AP807" t="s">
        <v>2295</v>
      </c>
      <c r="AQ807" t="s">
        <v>74</v>
      </c>
      <c r="AR807" t="s">
        <v>2296</v>
      </c>
      <c r="AS807" t="s">
        <v>2297</v>
      </c>
      <c r="AT807" t="s">
        <v>11499</v>
      </c>
      <c r="AU807">
        <v>2004</v>
      </c>
      <c r="AV807">
        <v>208</v>
      </c>
      <c r="AW807" t="s">
        <v>2537</v>
      </c>
      <c r="AX807" t="s">
        <v>74</v>
      </c>
      <c r="AY807" t="s">
        <v>74</v>
      </c>
      <c r="AZ807" t="s">
        <v>74</v>
      </c>
      <c r="BA807" t="s">
        <v>74</v>
      </c>
      <c r="BB807">
        <v>1</v>
      </c>
      <c r="BC807">
        <v>22</v>
      </c>
      <c r="BD807" t="s">
        <v>74</v>
      </c>
      <c r="BE807" t="s">
        <v>11539</v>
      </c>
      <c r="BF807" t="str">
        <f>HYPERLINK("http://dx.doi.org/10.1016/j.palaeo.2004.02.003","http://dx.doi.org/10.1016/j.palaeo.2004.02.003")</f>
        <v>http://dx.doi.org/10.1016/j.palaeo.2004.02.003</v>
      </c>
      <c r="BG807" t="s">
        <v>74</v>
      </c>
      <c r="BH807" t="s">
        <v>74</v>
      </c>
      <c r="BI807">
        <v>22</v>
      </c>
      <c r="BJ807" t="s">
        <v>2299</v>
      </c>
      <c r="BK807" t="s">
        <v>139</v>
      </c>
      <c r="BL807" t="s">
        <v>2300</v>
      </c>
      <c r="BM807" t="s">
        <v>11540</v>
      </c>
      <c r="BN807" t="s">
        <v>74</v>
      </c>
      <c r="BO807" t="s">
        <v>74</v>
      </c>
      <c r="BP807" t="s">
        <v>74</v>
      </c>
      <c r="BQ807" t="s">
        <v>74</v>
      </c>
      <c r="BR807" t="s">
        <v>98</v>
      </c>
      <c r="BS807" t="s">
        <v>11541</v>
      </c>
      <c r="BT807" t="str">
        <f>HYPERLINK("https%3A%2F%2Fwww.webofscience.com%2Fwos%2Fwoscc%2Ffull-record%2FWOS:000222040400001","View Full Record in Web of Science")</f>
        <v>View Full Record in Web of Science</v>
      </c>
    </row>
    <row r="808" spans="1:72" x14ac:dyDescent="0.15">
      <c r="A808" t="s">
        <v>122</v>
      </c>
      <c r="B808" t="s">
        <v>11542</v>
      </c>
      <c r="C808" t="s">
        <v>74</v>
      </c>
      <c r="D808" t="s">
        <v>74</v>
      </c>
      <c r="E808" t="s">
        <v>74</v>
      </c>
      <c r="F808" t="s">
        <v>11542</v>
      </c>
      <c r="G808" t="s">
        <v>74</v>
      </c>
      <c r="H808" t="s">
        <v>74</v>
      </c>
      <c r="I808" t="s">
        <v>11543</v>
      </c>
      <c r="J808" t="s">
        <v>2283</v>
      </c>
      <c r="K808" t="s">
        <v>74</v>
      </c>
      <c r="L808" t="s">
        <v>74</v>
      </c>
      <c r="M808" t="s">
        <v>79</v>
      </c>
      <c r="N808" t="s">
        <v>126</v>
      </c>
      <c r="O808" t="s">
        <v>74</v>
      </c>
      <c r="P808" t="s">
        <v>74</v>
      </c>
      <c r="Q808" t="s">
        <v>74</v>
      </c>
      <c r="R808" t="s">
        <v>74</v>
      </c>
      <c r="S808" t="s">
        <v>74</v>
      </c>
      <c r="T808" t="s">
        <v>11544</v>
      </c>
      <c r="U808" t="s">
        <v>11545</v>
      </c>
      <c r="V808" t="s">
        <v>11546</v>
      </c>
      <c r="W808" t="s">
        <v>11547</v>
      </c>
      <c r="X808" t="s">
        <v>11548</v>
      </c>
      <c r="Y808" t="s">
        <v>7679</v>
      </c>
      <c r="Z808" t="s">
        <v>11549</v>
      </c>
      <c r="AA808" t="s">
        <v>11550</v>
      </c>
      <c r="AB808" t="s">
        <v>11551</v>
      </c>
      <c r="AC808" t="s">
        <v>74</v>
      </c>
      <c r="AD808" t="s">
        <v>74</v>
      </c>
      <c r="AE808" t="s">
        <v>74</v>
      </c>
      <c r="AF808" t="s">
        <v>74</v>
      </c>
      <c r="AG808">
        <v>72</v>
      </c>
      <c r="AH808">
        <v>19</v>
      </c>
      <c r="AI808">
        <v>21</v>
      </c>
      <c r="AJ808">
        <v>1</v>
      </c>
      <c r="AK808">
        <v>6</v>
      </c>
      <c r="AL808" t="s">
        <v>562</v>
      </c>
      <c r="AM808" t="s">
        <v>532</v>
      </c>
      <c r="AN808" t="s">
        <v>563</v>
      </c>
      <c r="AO808" t="s">
        <v>2294</v>
      </c>
      <c r="AP808" t="s">
        <v>2295</v>
      </c>
      <c r="AQ808" t="s">
        <v>74</v>
      </c>
      <c r="AR808" t="s">
        <v>2296</v>
      </c>
      <c r="AS808" t="s">
        <v>2297</v>
      </c>
      <c r="AT808" t="s">
        <v>11499</v>
      </c>
      <c r="AU808">
        <v>2004</v>
      </c>
      <c r="AV808">
        <v>208</v>
      </c>
      <c r="AW808" t="s">
        <v>2537</v>
      </c>
      <c r="AX808" t="s">
        <v>74</v>
      </c>
      <c r="AY808" t="s">
        <v>74</v>
      </c>
      <c r="AZ808" t="s">
        <v>74</v>
      </c>
      <c r="BA808" t="s">
        <v>74</v>
      </c>
      <c r="BB808">
        <v>121</v>
      </c>
      <c r="BC808">
        <v>140</v>
      </c>
      <c r="BD808" t="s">
        <v>74</v>
      </c>
      <c r="BE808" t="s">
        <v>11552</v>
      </c>
      <c r="BF808" t="str">
        <f>HYPERLINK("http://dx.doi.org/10.1016/j.palaeo.2004.02.032","http://dx.doi.org/10.1016/j.palaeo.2004.02.032")</f>
        <v>http://dx.doi.org/10.1016/j.palaeo.2004.02.032</v>
      </c>
      <c r="BG808" t="s">
        <v>74</v>
      </c>
      <c r="BH808" t="s">
        <v>74</v>
      </c>
      <c r="BI808">
        <v>20</v>
      </c>
      <c r="BJ808" t="s">
        <v>2299</v>
      </c>
      <c r="BK808" t="s">
        <v>139</v>
      </c>
      <c r="BL808" t="s">
        <v>2300</v>
      </c>
      <c r="BM808" t="s">
        <v>11540</v>
      </c>
      <c r="BN808" t="s">
        <v>74</v>
      </c>
      <c r="BO808" t="s">
        <v>74</v>
      </c>
      <c r="BP808" t="s">
        <v>74</v>
      </c>
      <c r="BQ808" t="s">
        <v>74</v>
      </c>
      <c r="BR808" t="s">
        <v>98</v>
      </c>
      <c r="BS808" t="s">
        <v>11553</v>
      </c>
      <c r="BT808" t="str">
        <f>HYPERLINK("https%3A%2F%2Fwww.webofscience.com%2Fwos%2Fwoscc%2Ffull-record%2FWOS:000222040400007","View Full Record in Web of Science")</f>
        <v>View Full Record in Web of Science</v>
      </c>
    </row>
    <row r="809" spans="1:72" x14ac:dyDescent="0.15">
      <c r="A809" t="s">
        <v>122</v>
      </c>
      <c r="B809" t="s">
        <v>11554</v>
      </c>
      <c r="C809" t="s">
        <v>74</v>
      </c>
      <c r="D809" t="s">
        <v>74</v>
      </c>
      <c r="E809" t="s">
        <v>74</v>
      </c>
      <c r="F809" t="s">
        <v>11554</v>
      </c>
      <c r="G809" t="s">
        <v>74</v>
      </c>
      <c r="H809" t="s">
        <v>74</v>
      </c>
      <c r="I809" t="s">
        <v>11555</v>
      </c>
      <c r="J809" t="s">
        <v>603</v>
      </c>
      <c r="K809" t="s">
        <v>74</v>
      </c>
      <c r="L809" t="s">
        <v>74</v>
      </c>
      <c r="M809" t="s">
        <v>79</v>
      </c>
      <c r="N809" t="s">
        <v>126</v>
      </c>
      <c r="O809" t="s">
        <v>74</v>
      </c>
      <c r="P809" t="s">
        <v>74</v>
      </c>
      <c r="Q809" t="s">
        <v>74</v>
      </c>
      <c r="R809" t="s">
        <v>74</v>
      </c>
      <c r="S809" t="s">
        <v>74</v>
      </c>
      <c r="T809" t="s">
        <v>11556</v>
      </c>
      <c r="U809" t="s">
        <v>11557</v>
      </c>
      <c r="V809" t="s">
        <v>11558</v>
      </c>
      <c r="W809" t="s">
        <v>11559</v>
      </c>
      <c r="X809" t="s">
        <v>11560</v>
      </c>
      <c r="Y809" t="s">
        <v>11561</v>
      </c>
      <c r="Z809" t="s">
        <v>8811</v>
      </c>
      <c r="AA809" t="s">
        <v>11562</v>
      </c>
      <c r="AB809" t="s">
        <v>11563</v>
      </c>
      <c r="AC809" t="s">
        <v>74</v>
      </c>
      <c r="AD809" t="s">
        <v>74</v>
      </c>
      <c r="AE809" t="s">
        <v>74</v>
      </c>
      <c r="AF809" t="s">
        <v>74</v>
      </c>
      <c r="AG809">
        <v>14</v>
      </c>
      <c r="AH809">
        <v>57</v>
      </c>
      <c r="AI809">
        <v>83</v>
      </c>
      <c r="AJ809">
        <v>1</v>
      </c>
      <c r="AK809">
        <v>33</v>
      </c>
      <c r="AL809" t="s">
        <v>612</v>
      </c>
      <c r="AM809" t="s">
        <v>613</v>
      </c>
      <c r="AN809" t="s">
        <v>614</v>
      </c>
      <c r="AO809" t="s">
        <v>615</v>
      </c>
      <c r="AP809" t="s">
        <v>616</v>
      </c>
      <c r="AQ809" t="s">
        <v>74</v>
      </c>
      <c r="AR809" t="s">
        <v>617</v>
      </c>
      <c r="AS809" t="s">
        <v>618</v>
      </c>
      <c r="AT809" t="s">
        <v>11564</v>
      </c>
      <c r="AU809">
        <v>2004</v>
      </c>
      <c r="AV809">
        <v>91</v>
      </c>
      <c r="AW809">
        <v>2</v>
      </c>
      <c r="AX809" t="s">
        <v>74</v>
      </c>
      <c r="AY809" t="s">
        <v>74</v>
      </c>
      <c r="AZ809" t="s">
        <v>74</v>
      </c>
      <c r="BA809" t="s">
        <v>74</v>
      </c>
      <c r="BB809">
        <v>129</v>
      </c>
      <c r="BC809">
        <v>133</v>
      </c>
      <c r="BD809" t="s">
        <v>74</v>
      </c>
      <c r="BE809" t="s">
        <v>11565</v>
      </c>
      <c r="BF809" t="str">
        <f>HYPERLINK("http://dx.doi.org/10.1016/j.rse.2004.02.006","http://dx.doi.org/10.1016/j.rse.2004.02.006")</f>
        <v>http://dx.doi.org/10.1016/j.rse.2004.02.006</v>
      </c>
      <c r="BG809" t="s">
        <v>74</v>
      </c>
      <c r="BH809" t="s">
        <v>74</v>
      </c>
      <c r="BI809">
        <v>5</v>
      </c>
      <c r="BJ809" t="s">
        <v>620</v>
      </c>
      <c r="BK809" t="s">
        <v>139</v>
      </c>
      <c r="BL809" t="s">
        <v>621</v>
      </c>
      <c r="BM809" t="s">
        <v>11566</v>
      </c>
      <c r="BN809" t="s">
        <v>74</v>
      </c>
      <c r="BO809" t="s">
        <v>74</v>
      </c>
      <c r="BP809" t="s">
        <v>74</v>
      </c>
      <c r="BQ809" t="s">
        <v>74</v>
      </c>
      <c r="BR809" t="s">
        <v>98</v>
      </c>
      <c r="BS809" t="s">
        <v>11567</v>
      </c>
      <c r="BT809" t="str">
        <f>HYPERLINK("https%3A%2F%2Fwww.webofscience.com%2Fwos%2Fwoscc%2Ffull-record%2FWOS:000222006000001","View Full Record in Web of Science")</f>
        <v>View Full Record in Web of Science</v>
      </c>
    </row>
    <row r="810" spans="1:72" x14ac:dyDescent="0.15">
      <c r="A810" t="s">
        <v>122</v>
      </c>
      <c r="B810" t="s">
        <v>11568</v>
      </c>
      <c r="C810" t="s">
        <v>74</v>
      </c>
      <c r="D810" t="s">
        <v>74</v>
      </c>
      <c r="E810" t="s">
        <v>74</v>
      </c>
      <c r="F810" t="s">
        <v>11568</v>
      </c>
      <c r="G810" t="s">
        <v>74</v>
      </c>
      <c r="H810" t="s">
        <v>74</v>
      </c>
      <c r="I810" t="s">
        <v>11569</v>
      </c>
      <c r="J810" t="s">
        <v>230</v>
      </c>
      <c r="K810" t="s">
        <v>74</v>
      </c>
      <c r="L810" t="s">
        <v>74</v>
      </c>
      <c r="M810" t="s">
        <v>79</v>
      </c>
      <c r="N810" t="s">
        <v>126</v>
      </c>
      <c r="O810" t="s">
        <v>74</v>
      </c>
      <c r="P810" t="s">
        <v>74</v>
      </c>
      <c r="Q810" t="s">
        <v>74</v>
      </c>
      <c r="R810" t="s">
        <v>74</v>
      </c>
      <c r="S810" t="s">
        <v>74</v>
      </c>
      <c r="T810" t="s">
        <v>74</v>
      </c>
      <c r="U810" t="s">
        <v>11570</v>
      </c>
      <c r="V810" t="s">
        <v>11571</v>
      </c>
      <c r="W810" t="s">
        <v>11572</v>
      </c>
      <c r="X810" t="s">
        <v>11573</v>
      </c>
      <c r="Y810" t="s">
        <v>11574</v>
      </c>
      <c r="Z810" t="s">
        <v>11575</v>
      </c>
      <c r="AA810" t="s">
        <v>11576</v>
      </c>
      <c r="AB810" t="s">
        <v>11577</v>
      </c>
      <c r="AC810" t="s">
        <v>74</v>
      </c>
      <c r="AD810" t="s">
        <v>74</v>
      </c>
      <c r="AE810" t="s">
        <v>74</v>
      </c>
      <c r="AF810" t="s">
        <v>74</v>
      </c>
      <c r="AG810">
        <v>29</v>
      </c>
      <c r="AH810">
        <v>8</v>
      </c>
      <c r="AI810">
        <v>9</v>
      </c>
      <c r="AJ810">
        <v>0</v>
      </c>
      <c r="AK810">
        <v>2</v>
      </c>
      <c r="AL810" t="s">
        <v>239</v>
      </c>
      <c r="AM810" t="s">
        <v>240</v>
      </c>
      <c r="AN810" t="s">
        <v>241</v>
      </c>
      <c r="AO810" t="s">
        <v>242</v>
      </c>
      <c r="AP810" t="s">
        <v>341</v>
      </c>
      <c r="AQ810" t="s">
        <v>74</v>
      </c>
      <c r="AR810" t="s">
        <v>243</v>
      </c>
      <c r="AS810" t="s">
        <v>244</v>
      </c>
      <c r="AT810" t="s">
        <v>11578</v>
      </c>
      <c r="AU810">
        <v>2004</v>
      </c>
      <c r="AV810">
        <v>31</v>
      </c>
      <c r="AW810">
        <v>10</v>
      </c>
      <c r="AX810" t="s">
        <v>74</v>
      </c>
      <c r="AY810" t="s">
        <v>74</v>
      </c>
      <c r="AZ810" t="s">
        <v>74</v>
      </c>
      <c r="BA810" t="s">
        <v>74</v>
      </c>
      <c r="BB810" t="s">
        <v>74</v>
      </c>
      <c r="BC810" t="s">
        <v>74</v>
      </c>
      <c r="BD810" t="s">
        <v>11579</v>
      </c>
      <c r="BE810" t="s">
        <v>11580</v>
      </c>
      <c r="BF810" t="str">
        <f>HYPERLINK("http://dx.doi.org/10.1029/2004GL019903","http://dx.doi.org/10.1029/2004GL019903")</f>
        <v>http://dx.doi.org/10.1029/2004GL019903</v>
      </c>
      <c r="BG810" t="s">
        <v>74</v>
      </c>
      <c r="BH810" t="s">
        <v>74</v>
      </c>
      <c r="BI810">
        <v>4</v>
      </c>
      <c r="BJ810" t="s">
        <v>248</v>
      </c>
      <c r="BK810" t="s">
        <v>139</v>
      </c>
      <c r="BL810" t="s">
        <v>249</v>
      </c>
      <c r="BM810" t="s">
        <v>11581</v>
      </c>
      <c r="BN810" t="s">
        <v>74</v>
      </c>
      <c r="BO810" t="s">
        <v>273</v>
      </c>
      <c r="BP810" t="s">
        <v>74</v>
      </c>
      <c r="BQ810" t="s">
        <v>74</v>
      </c>
      <c r="BR810" t="s">
        <v>98</v>
      </c>
      <c r="BS810" t="s">
        <v>11582</v>
      </c>
      <c r="BT810" t="str">
        <f>HYPERLINK("https%3A%2F%2Fwww.webofscience.com%2Fwos%2Fwoscc%2Ffull-record%2FWOS:000221910200004","View Full Record in Web of Science")</f>
        <v>View Full Record in Web of Science</v>
      </c>
    </row>
    <row r="811" spans="1:72" x14ac:dyDescent="0.15">
      <c r="A811" t="s">
        <v>122</v>
      </c>
      <c r="B811" t="s">
        <v>11583</v>
      </c>
      <c r="C811" t="s">
        <v>74</v>
      </c>
      <c r="D811" t="s">
        <v>74</v>
      </c>
      <c r="E811" t="s">
        <v>74</v>
      </c>
      <c r="F811" t="s">
        <v>11583</v>
      </c>
      <c r="G811" t="s">
        <v>74</v>
      </c>
      <c r="H811" t="s">
        <v>74</v>
      </c>
      <c r="I811" t="s">
        <v>11584</v>
      </c>
      <c r="J811" t="s">
        <v>230</v>
      </c>
      <c r="K811" t="s">
        <v>74</v>
      </c>
      <c r="L811" t="s">
        <v>74</v>
      </c>
      <c r="M811" t="s">
        <v>79</v>
      </c>
      <c r="N811" t="s">
        <v>126</v>
      </c>
      <c r="O811" t="s">
        <v>74</v>
      </c>
      <c r="P811" t="s">
        <v>74</v>
      </c>
      <c r="Q811" t="s">
        <v>74</v>
      </c>
      <c r="R811" t="s">
        <v>74</v>
      </c>
      <c r="S811" t="s">
        <v>74</v>
      </c>
      <c r="T811" t="s">
        <v>74</v>
      </c>
      <c r="U811" t="s">
        <v>11585</v>
      </c>
      <c r="V811" t="s">
        <v>11586</v>
      </c>
      <c r="W811" t="s">
        <v>11587</v>
      </c>
      <c r="X811" t="s">
        <v>8977</v>
      </c>
      <c r="Y811" t="s">
        <v>11588</v>
      </c>
      <c r="Z811" t="s">
        <v>11589</v>
      </c>
      <c r="AA811" t="s">
        <v>11590</v>
      </c>
      <c r="AB811" t="s">
        <v>11591</v>
      </c>
      <c r="AC811" t="s">
        <v>74</v>
      </c>
      <c r="AD811" t="s">
        <v>74</v>
      </c>
      <c r="AE811" t="s">
        <v>74</v>
      </c>
      <c r="AF811" t="s">
        <v>74</v>
      </c>
      <c r="AG811">
        <v>19</v>
      </c>
      <c r="AH811">
        <v>2</v>
      </c>
      <c r="AI811">
        <v>2</v>
      </c>
      <c r="AJ811">
        <v>0</v>
      </c>
      <c r="AK811">
        <v>2</v>
      </c>
      <c r="AL811" t="s">
        <v>239</v>
      </c>
      <c r="AM811" t="s">
        <v>240</v>
      </c>
      <c r="AN811" t="s">
        <v>241</v>
      </c>
      <c r="AO811" t="s">
        <v>242</v>
      </c>
      <c r="AP811" t="s">
        <v>341</v>
      </c>
      <c r="AQ811" t="s">
        <v>74</v>
      </c>
      <c r="AR811" t="s">
        <v>243</v>
      </c>
      <c r="AS811" t="s">
        <v>244</v>
      </c>
      <c r="AT811" t="s">
        <v>11578</v>
      </c>
      <c r="AU811">
        <v>2004</v>
      </c>
      <c r="AV811">
        <v>31</v>
      </c>
      <c r="AW811">
        <v>10</v>
      </c>
      <c r="AX811" t="s">
        <v>74</v>
      </c>
      <c r="AY811" t="s">
        <v>74</v>
      </c>
      <c r="AZ811" t="s">
        <v>74</v>
      </c>
      <c r="BA811" t="s">
        <v>74</v>
      </c>
      <c r="BB811" t="s">
        <v>74</v>
      </c>
      <c r="BC811" t="s">
        <v>74</v>
      </c>
      <c r="BD811" t="s">
        <v>11592</v>
      </c>
      <c r="BE811" t="s">
        <v>11593</v>
      </c>
      <c r="BF811" t="str">
        <f>HYPERLINK("http://dx.doi.org/10.1029/2004GL019623","http://dx.doi.org/10.1029/2004GL019623")</f>
        <v>http://dx.doi.org/10.1029/2004GL019623</v>
      </c>
      <c r="BG811" t="s">
        <v>74</v>
      </c>
      <c r="BH811" t="s">
        <v>74</v>
      </c>
      <c r="BI811">
        <v>4</v>
      </c>
      <c r="BJ811" t="s">
        <v>248</v>
      </c>
      <c r="BK811" t="s">
        <v>139</v>
      </c>
      <c r="BL811" t="s">
        <v>249</v>
      </c>
      <c r="BM811" t="s">
        <v>11581</v>
      </c>
      <c r="BN811" t="s">
        <v>74</v>
      </c>
      <c r="BO811" t="s">
        <v>273</v>
      </c>
      <c r="BP811" t="s">
        <v>74</v>
      </c>
      <c r="BQ811" t="s">
        <v>74</v>
      </c>
      <c r="BR811" t="s">
        <v>98</v>
      </c>
      <c r="BS811" t="s">
        <v>11594</v>
      </c>
      <c r="BT811" t="str">
        <f>HYPERLINK("https%3A%2F%2Fwww.webofscience.com%2Fwos%2Fwoscc%2Ffull-record%2FWOS:000221910200002","View Full Record in Web of Science")</f>
        <v>View Full Record in Web of Science</v>
      </c>
    </row>
    <row r="812" spans="1:72" x14ac:dyDescent="0.15">
      <c r="A812" t="s">
        <v>122</v>
      </c>
      <c r="B812" t="s">
        <v>11595</v>
      </c>
      <c r="C812" t="s">
        <v>74</v>
      </c>
      <c r="D812" t="s">
        <v>74</v>
      </c>
      <c r="E812" t="s">
        <v>74</v>
      </c>
      <c r="F812" t="s">
        <v>11595</v>
      </c>
      <c r="G812" t="s">
        <v>74</v>
      </c>
      <c r="H812" t="s">
        <v>74</v>
      </c>
      <c r="I812" t="s">
        <v>11596</v>
      </c>
      <c r="J812" t="s">
        <v>230</v>
      </c>
      <c r="K812" t="s">
        <v>74</v>
      </c>
      <c r="L812" t="s">
        <v>74</v>
      </c>
      <c r="M812" t="s">
        <v>79</v>
      </c>
      <c r="N812" t="s">
        <v>126</v>
      </c>
      <c r="O812" t="s">
        <v>74</v>
      </c>
      <c r="P812" t="s">
        <v>74</v>
      </c>
      <c r="Q812" t="s">
        <v>74</v>
      </c>
      <c r="R812" t="s">
        <v>74</v>
      </c>
      <c r="S812" t="s">
        <v>74</v>
      </c>
      <c r="T812" t="s">
        <v>74</v>
      </c>
      <c r="U812" t="s">
        <v>11597</v>
      </c>
      <c r="V812" t="s">
        <v>11598</v>
      </c>
      <c r="W812" t="s">
        <v>1078</v>
      </c>
      <c r="X812" t="s">
        <v>548</v>
      </c>
      <c r="Y812" t="s">
        <v>11599</v>
      </c>
      <c r="Z812" t="s">
        <v>11600</v>
      </c>
      <c r="AA812" t="s">
        <v>74</v>
      </c>
      <c r="AB812" t="s">
        <v>11601</v>
      </c>
      <c r="AC812" t="s">
        <v>74</v>
      </c>
      <c r="AD812" t="s">
        <v>74</v>
      </c>
      <c r="AE812" t="s">
        <v>74</v>
      </c>
      <c r="AF812" t="s">
        <v>74</v>
      </c>
      <c r="AG812">
        <v>23</v>
      </c>
      <c r="AH812">
        <v>145</v>
      </c>
      <c r="AI812">
        <v>162</v>
      </c>
      <c r="AJ812">
        <v>0</v>
      </c>
      <c r="AK812">
        <v>30</v>
      </c>
      <c r="AL812" t="s">
        <v>239</v>
      </c>
      <c r="AM812" t="s">
        <v>240</v>
      </c>
      <c r="AN812" t="s">
        <v>241</v>
      </c>
      <c r="AO812" t="s">
        <v>242</v>
      </c>
      <c r="AP812" t="s">
        <v>341</v>
      </c>
      <c r="AQ812" t="s">
        <v>74</v>
      </c>
      <c r="AR812" t="s">
        <v>243</v>
      </c>
      <c r="AS812" t="s">
        <v>244</v>
      </c>
      <c r="AT812" t="s">
        <v>11602</v>
      </c>
      <c r="AU812">
        <v>2004</v>
      </c>
      <c r="AV812">
        <v>31</v>
      </c>
      <c r="AW812">
        <v>10</v>
      </c>
      <c r="AX812" t="s">
        <v>74</v>
      </c>
      <c r="AY812" t="s">
        <v>74</v>
      </c>
      <c r="AZ812" t="s">
        <v>74</v>
      </c>
      <c r="BA812" t="s">
        <v>74</v>
      </c>
      <c r="BB812" t="s">
        <v>74</v>
      </c>
      <c r="BC812" t="s">
        <v>74</v>
      </c>
      <c r="BD812" t="s">
        <v>11603</v>
      </c>
      <c r="BE812" t="s">
        <v>11604</v>
      </c>
      <c r="BF812" t="str">
        <f>HYPERLINK("http://dx.doi.org/10.1029/2004GL019506","http://dx.doi.org/10.1029/2004GL019506")</f>
        <v>http://dx.doi.org/10.1029/2004GL019506</v>
      </c>
      <c r="BG812" t="s">
        <v>74</v>
      </c>
      <c r="BH812" t="s">
        <v>74</v>
      </c>
      <c r="BI812">
        <v>4</v>
      </c>
      <c r="BJ812" t="s">
        <v>248</v>
      </c>
      <c r="BK812" t="s">
        <v>139</v>
      </c>
      <c r="BL812" t="s">
        <v>249</v>
      </c>
      <c r="BM812" t="s">
        <v>11605</v>
      </c>
      <c r="BN812" t="s">
        <v>74</v>
      </c>
      <c r="BO812" t="s">
        <v>2621</v>
      </c>
      <c r="BP812" t="s">
        <v>74</v>
      </c>
      <c r="BQ812" t="s">
        <v>74</v>
      </c>
      <c r="BR812" t="s">
        <v>98</v>
      </c>
      <c r="BS812" t="s">
        <v>11606</v>
      </c>
      <c r="BT812" t="str">
        <f>HYPERLINK("https%3A%2F%2Fwww.webofscience.com%2Fwos%2Fwoscc%2Ffull-record%2FWOS:000221910100002","View Full Record in Web of Science")</f>
        <v>View Full Record in Web of Science</v>
      </c>
    </row>
    <row r="813" spans="1:72" x14ac:dyDescent="0.15">
      <c r="A813" t="s">
        <v>122</v>
      </c>
      <c r="B813" t="s">
        <v>11607</v>
      </c>
      <c r="C813" t="s">
        <v>74</v>
      </c>
      <c r="D813" t="s">
        <v>74</v>
      </c>
      <c r="E813" t="s">
        <v>74</v>
      </c>
      <c r="F813" t="s">
        <v>11607</v>
      </c>
      <c r="G813" t="s">
        <v>74</v>
      </c>
      <c r="H813" t="s">
        <v>74</v>
      </c>
      <c r="I813" t="s">
        <v>11608</v>
      </c>
      <c r="J813" t="s">
        <v>230</v>
      </c>
      <c r="K813" t="s">
        <v>74</v>
      </c>
      <c r="L813" t="s">
        <v>74</v>
      </c>
      <c r="M813" t="s">
        <v>79</v>
      </c>
      <c r="N813" t="s">
        <v>126</v>
      </c>
      <c r="O813" t="s">
        <v>74</v>
      </c>
      <c r="P813" t="s">
        <v>74</v>
      </c>
      <c r="Q813" t="s">
        <v>74</v>
      </c>
      <c r="R813" t="s">
        <v>74</v>
      </c>
      <c r="S813" t="s">
        <v>74</v>
      </c>
      <c r="T813" t="s">
        <v>74</v>
      </c>
      <c r="U813" t="s">
        <v>11609</v>
      </c>
      <c r="V813" t="s">
        <v>11610</v>
      </c>
      <c r="W813" t="s">
        <v>11611</v>
      </c>
      <c r="X813" t="s">
        <v>11612</v>
      </c>
      <c r="Y813" t="s">
        <v>11613</v>
      </c>
      <c r="Z813" t="s">
        <v>11614</v>
      </c>
      <c r="AA813" t="s">
        <v>74</v>
      </c>
      <c r="AB813" t="s">
        <v>11615</v>
      </c>
      <c r="AC813" t="s">
        <v>74</v>
      </c>
      <c r="AD813" t="s">
        <v>74</v>
      </c>
      <c r="AE813" t="s">
        <v>74</v>
      </c>
      <c r="AF813" t="s">
        <v>74</v>
      </c>
      <c r="AG813">
        <v>23</v>
      </c>
      <c r="AH813">
        <v>28</v>
      </c>
      <c r="AI813">
        <v>30</v>
      </c>
      <c r="AJ813">
        <v>0</v>
      </c>
      <c r="AK813">
        <v>6</v>
      </c>
      <c r="AL813" t="s">
        <v>239</v>
      </c>
      <c r="AM813" t="s">
        <v>240</v>
      </c>
      <c r="AN813" t="s">
        <v>241</v>
      </c>
      <c r="AO813" t="s">
        <v>242</v>
      </c>
      <c r="AP813" t="s">
        <v>341</v>
      </c>
      <c r="AQ813" t="s">
        <v>74</v>
      </c>
      <c r="AR813" t="s">
        <v>243</v>
      </c>
      <c r="AS813" t="s">
        <v>244</v>
      </c>
      <c r="AT813" t="s">
        <v>11616</v>
      </c>
      <c r="AU813">
        <v>2004</v>
      </c>
      <c r="AV813">
        <v>31</v>
      </c>
      <c r="AW813">
        <v>10</v>
      </c>
      <c r="AX813" t="s">
        <v>74</v>
      </c>
      <c r="AY813" t="s">
        <v>74</v>
      </c>
      <c r="AZ813" t="s">
        <v>74</v>
      </c>
      <c r="BA813" t="s">
        <v>74</v>
      </c>
      <c r="BB813" t="s">
        <v>74</v>
      </c>
      <c r="BC813" t="s">
        <v>74</v>
      </c>
      <c r="BD813" t="s">
        <v>11617</v>
      </c>
      <c r="BE813" t="s">
        <v>11618</v>
      </c>
      <c r="BF813" t="str">
        <f>HYPERLINK("http://dx.doi.org/10.1029/2004GL019804","http://dx.doi.org/10.1029/2004GL019804")</f>
        <v>http://dx.doi.org/10.1029/2004GL019804</v>
      </c>
      <c r="BG813" t="s">
        <v>74</v>
      </c>
      <c r="BH813" t="s">
        <v>74</v>
      </c>
      <c r="BI813">
        <v>5</v>
      </c>
      <c r="BJ813" t="s">
        <v>248</v>
      </c>
      <c r="BK813" t="s">
        <v>139</v>
      </c>
      <c r="BL813" t="s">
        <v>249</v>
      </c>
      <c r="BM813" t="s">
        <v>11619</v>
      </c>
      <c r="BN813" t="s">
        <v>74</v>
      </c>
      <c r="BO813" t="s">
        <v>771</v>
      </c>
      <c r="BP813" t="s">
        <v>74</v>
      </c>
      <c r="BQ813" t="s">
        <v>74</v>
      </c>
      <c r="BR813" t="s">
        <v>98</v>
      </c>
      <c r="BS813" t="s">
        <v>11620</v>
      </c>
      <c r="BT813" t="str">
        <f>HYPERLINK("https%3A%2F%2Fwww.webofscience.com%2Fwos%2Fwoscc%2Ffull-record%2FWOS:000221910000002","View Full Record in Web of Science")</f>
        <v>View Full Record in Web of Science</v>
      </c>
    </row>
    <row r="814" spans="1:72" x14ac:dyDescent="0.15">
      <c r="A814" t="s">
        <v>122</v>
      </c>
      <c r="B814" t="s">
        <v>11621</v>
      </c>
      <c r="C814" t="s">
        <v>74</v>
      </c>
      <c r="D814" t="s">
        <v>74</v>
      </c>
      <c r="E814" t="s">
        <v>74</v>
      </c>
      <c r="F814" t="s">
        <v>11621</v>
      </c>
      <c r="G814" t="s">
        <v>74</v>
      </c>
      <c r="H814" t="s">
        <v>74</v>
      </c>
      <c r="I814" t="s">
        <v>11622</v>
      </c>
      <c r="J814" t="s">
        <v>643</v>
      </c>
      <c r="K814" t="s">
        <v>74</v>
      </c>
      <c r="L814" t="s">
        <v>74</v>
      </c>
      <c r="M814" t="s">
        <v>79</v>
      </c>
      <c r="N814" t="s">
        <v>581</v>
      </c>
      <c r="O814" t="s">
        <v>74</v>
      </c>
      <c r="P814" t="s">
        <v>74</v>
      </c>
      <c r="Q814" t="s">
        <v>74</v>
      </c>
      <c r="R814" t="s">
        <v>74</v>
      </c>
      <c r="S814" t="s">
        <v>74</v>
      </c>
      <c r="T814" t="s">
        <v>11623</v>
      </c>
      <c r="U814" t="s">
        <v>11624</v>
      </c>
      <c r="V814" t="s">
        <v>11625</v>
      </c>
      <c r="W814" t="s">
        <v>11626</v>
      </c>
      <c r="X814" t="s">
        <v>11627</v>
      </c>
      <c r="Y814" t="s">
        <v>11628</v>
      </c>
      <c r="Z814" t="s">
        <v>11629</v>
      </c>
      <c r="AA814" t="s">
        <v>11630</v>
      </c>
      <c r="AB814" t="s">
        <v>11631</v>
      </c>
      <c r="AC814" t="s">
        <v>74</v>
      </c>
      <c r="AD814" t="s">
        <v>74</v>
      </c>
      <c r="AE814" t="s">
        <v>74</v>
      </c>
      <c r="AF814" t="s">
        <v>74</v>
      </c>
      <c r="AG814">
        <v>103</v>
      </c>
      <c r="AH814">
        <v>28</v>
      </c>
      <c r="AI814">
        <v>35</v>
      </c>
      <c r="AJ814">
        <v>1</v>
      </c>
      <c r="AK814">
        <v>26</v>
      </c>
      <c r="AL814" t="s">
        <v>239</v>
      </c>
      <c r="AM814" t="s">
        <v>240</v>
      </c>
      <c r="AN814" t="s">
        <v>241</v>
      </c>
      <c r="AO814" t="s">
        <v>653</v>
      </c>
      <c r="AP814" t="s">
        <v>654</v>
      </c>
      <c r="AQ814" t="s">
        <v>74</v>
      </c>
      <c r="AR814" t="s">
        <v>655</v>
      </c>
      <c r="AS814" t="s">
        <v>656</v>
      </c>
      <c r="AT814" t="s">
        <v>11616</v>
      </c>
      <c r="AU814">
        <v>2004</v>
      </c>
      <c r="AV814">
        <v>109</v>
      </c>
      <c r="AW814" t="s">
        <v>11632</v>
      </c>
      <c r="AX814" t="s">
        <v>74</v>
      </c>
      <c r="AY814" t="s">
        <v>74</v>
      </c>
      <c r="AZ814" t="s">
        <v>74</v>
      </c>
      <c r="BA814" t="s">
        <v>74</v>
      </c>
      <c r="BB814" t="s">
        <v>74</v>
      </c>
      <c r="BC814" t="s">
        <v>74</v>
      </c>
      <c r="BD814" t="s">
        <v>11633</v>
      </c>
      <c r="BE814" t="s">
        <v>11634</v>
      </c>
      <c r="BF814" t="str">
        <f>HYPERLINK("http://dx.doi.org/10.1029/2003JC001945","http://dx.doi.org/10.1029/2003JC001945")</f>
        <v>http://dx.doi.org/10.1029/2003JC001945</v>
      </c>
      <c r="BG814" t="s">
        <v>74</v>
      </c>
      <c r="BH814" t="s">
        <v>74</v>
      </c>
      <c r="BI814">
        <v>30</v>
      </c>
      <c r="BJ814" t="s">
        <v>660</v>
      </c>
      <c r="BK814" t="s">
        <v>139</v>
      </c>
      <c r="BL814" t="s">
        <v>660</v>
      </c>
      <c r="BM814" t="s">
        <v>11635</v>
      </c>
      <c r="BN814" t="s">
        <v>74</v>
      </c>
      <c r="BO814" t="s">
        <v>329</v>
      </c>
      <c r="BP814" t="s">
        <v>74</v>
      </c>
      <c r="BQ814" t="s">
        <v>74</v>
      </c>
      <c r="BR814" t="s">
        <v>98</v>
      </c>
      <c r="BS814" t="s">
        <v>11636</v>
      </c>
      <c r="BT814" t="str">
        <f>HYPERLINK("https%3A%2F%2Fwww.webofscience.com%2Fwos%2Fwoscc%2Ffull-record%2FWOS:000221911400001","View Full Record in Web of Science")</f>
        <v>View Full Record in Web of Science</v>
      </c>
    </row>
    <row r="815" spans="1:72" x14ac:dyDescent="0.15">
      <c r="A815" t="s">
        <v>122</v>
      </c>
      <c r="B815" t="s">
        <v>11637</v>
      </c>
      <c r="C815" t="s">
        <v>74</v>
      </c>
      <c r="D815" t="s">
        <v>74</v>
      </c>
      <c r="E815" t="s">
        <v>74</v>
      </c>
      <c r="F815" t="s">
        <v>11637</v>
      </c>
      <c r="G815" t="s">
        <v>74</v>
      </c>
      <c r="H815" t="s">
        <v>74</v>
      </c>
      <c r="I815" t="s">
        <v>11638</v>
      </c>
      <c r="J815" t="s">
        <v>230</v>
      </c>
      <c r="K815" t="s">
        <v>74</v>
      </c>
      <c r="L815" t="s">
        <v>74</v>
      </c>
      <c r="M815" t="s">
        <v>79</v>
      </c>
      <c r="N815" t="s">
        <v>126</v>
      </c>
      <c r="O815" t="s">
        <v>74</v>
      </c>
      <c r="P815" t="s">
        <v>74</v>
      </c>
      <c r="Q815" t="s">
        <v>74</v>
      </c>
      <c r="R815" t="s">
        <v>74</v>
      </c>
      <c r="S815" t="s">
        <v>74</v>
      </c>
      <c r="T815" t="s">
        <v>74</v>
      </c>
      <c r="U815" t="s">
        <v>11639</v>
      </c>
      <c r="V815" t="s">
        <v>11640</v>
      </c>
      <c r="W815" t="s">
        <v>11641</v>
      </c>
      <c r="X815" t="s">
        <v>11642</v>
      </c>
      <c r="Y815" t="s">
        <v>11643</v>
      </c>
      <c r="Z815" t="s">
        <v>11644</v>
      </c>
      <c r="AA815" t="s">
        <v>692</v>
      </c>
      <c r="AB815" t="s">
        <v>693</v>
      </c>
      <c r="AC815" t="s">
        <v>74</v>
      </c>
      <c r="AD815" t="s">
        <v>74</v>
      </c>
      <c r="AE815" t="s">
        <v>74</v>
      </c>
      <c r="AF815" t="s">
        <v>74</v>
      </c>
      <c r="AG815">
        <v>10</v>
      </c>
      <c r="AH815">
        <v>16</v>
      </c>
      <c r="AI815">
        <v>16</v>
      </c>
      <c r="AJ815">
        <v>0</v>
      </c>
      <c r="AK815">
        <v>1</v>
      </c>
      <c r="AL815" t="s">
        <v>239</v>
      </c>
      <c r="AM815" t="s">
        <v>240</v>
      </c>
      <c r="AN815" t="s">
        <v>241</v>
      </c>
      <c r="AO815" t="s">
        <v>242</v>
      </c>
      <c r="AP815" t="s">
        <v>74</v>
      </c>
      <c r="AQ815" t="s">
        <v>74</v>
      </c>
      <c r="AR815" t="s">
        <v>243</v>
      </c>
      <c r="AS815" t="s">
        <v>244</v>
      </c>
      <c r="AT815" t="s">
        <v>11645</v>
      </c>
      <c r="AU815">
        <v>2004</v>
      </c>
      <c r="AV815">
        <v>31</v>
      </c>
      <c r="AW815">
        <v>10</v>
      </c>
      <c r="AX815" t="s">
        <v>74</v>
      </c>
      <c r="AY815" t="s">
        <v>74</v>
      </c>
      <c r="AZ815" t="s">
        <v>74</v>
      </c>
      <c r="BA815" t="s">
        <v>74</v>
      </c>
      <c r="BB815" t="s">
        <v>74</v>
      </c>
      <c r="BC815" t="s">
        <v>74</v>
      </c>
      <c r="BD815" t="s">
        <v>11646</v>
      </c>
      <c r="BE815" t="s">
        <v>11647</v>
      </c>
      <c r="BF815" t="str">
        <f>HYPERLINK("http://dx.doi.org/10.1029/2004GL019501","http://dx.doi.org/10.1029/2004GL019501")</f>
        <v>http://dx.doi.org/10.1029/2004GL019501</v>
      </c>
      <c r="BG815" t="s">
        <v>74</v>
      </c>
      <c r="BH815" t="s">
        <v>74</v>
      </c>
      <c r="BI815">
        <v>5</v>
      </c>
      <c r="BJ815" t="s">
        <v>248</v>
      </c>
      <c r="BK815" t="s">
        <v>139</v>
      </c>
      <c r="BL815" t="s">
        <v>249</v>
      </c>
      <c r="BM815" t="s">
        <v>11648</v>
      </c>
      <c r="BN815" t="s">
        <v>74</v>
      </c>
      <c r="BO815" t="s">
        <v>273</v>
      </c>
      <c r="BP815" t="s">
        <v>74</v>
      </c>
      <c r="BQ815" t="s">
        <v>74</v>
      </c>
      <c r="BR815" t="s">
        <v>98</v>
      </c>
      <c r="BS815" t="s">
        <v>11649</v>
      </c>
      <c r="BT815" t="str">
        <f>HYPERLINK("https%3A%2F%2Fwww.webofscience.com%2Fwos%2Fwoscc%2Ffull-record%2FWOS:000221909900002","View Full Record in Web of Science")</f>
        <v>View Full Record in Web of Science</v>
      </c>
    </row>
    <row r="816" spans="1:72" x14ac:dyDescent="0.15">
      <c r="A816" t="s">
        <v>122</v>
      </c>
      <c r="B816" t="s">
        <v>11650</v>
      </c>
      <c r="C816" t="s">
        <v>74</v>
      </c>
      <c r="D816" t="s">
        <v>74</v>
      </c>
      <c r="E816" t="s">
        <v>74</v>
      </c>
      <c r="F816" t="s">
        <v>11650</v>
      </c>
      <c r="G816" t="s">
        <v>74</v>
      </c>
      <c r="H816" t="s">
        <v>74</v>
      </c>
      <c r="I816" t="s">
        <v>11651</v>
      </c>
      <c r="J816" t="s">
        <v>643</v>
      </c>
      <c r="K816" t="s">
        <v>74</v>
      </c>
      <c r="L816" t="s">
        <v>74</v>
      </c>
      <c r="M816" t="s">
        <v>79</v>
      </c>
      <c r="N816" t="s">
        <v>126</v>
      </c>
      <c r="O816" t="s">
        <v>74</v>
      </c>
      <c r="P816" t="s">
        <v>74</v>
      </c>
      <c r="Q816" t="s">
        <v>74</v>
      </c>
      <c r="R816" t="s">
        <v>74</v>
      </c>
      <c r="S816" t="s">
        <v>74</v>
      </c>
      <c r="T816" t="s">
        <v>11652</v>
      </c>
      <c r="U816" t="s">
        <v>11653</v>
      </c>
      <c r="V816" t="s">
        <v>11654</v>
      </c>
      <c r="W816" t="s">
        <v>11655</v>
      </c>
      <c r="X816" t="s">
        <v>11656</v>
      </c>
      <c r="Y816" t="s">
        <v>11657</v>
      </c>
      <c r="Z816" t="s">
        <v>11658</v>
      </c>
      <c r="AA816" t="s">
        <v>11659</v>
      </c>
      <c r="AB816" t="s">
        <v>11660</v>
      </c>
      <c r="AC816" t="s">
        <v>74</v>
      </c>
      <c r="AD816" t="s">
        <v>74</v>
      </c>
      <c r="AE816" t="s">
        <v>74</v>
      </c>
      <c r="AF816" t="s">
        <v>74</v>
      </c>
      <c r="AG816">
        <v>72</v>
      </c>
      <c r="AH816">
        <v>27</v>
      </c>
      <c r="AI816">
        <v>27</v>
      </c>
      <c r="AJ816">
        <v>1</v>
      </c>
      <c r="AK816">
        <v>18</v>
      </c>
      <c r="AL816" t="s">
        <v>239</v>
      </c>
      <c r="AM816" t="s">
        <v>240</v>
      </c>
      <c r="AN816" t="s">
        <v>241</v>
      </c>
      <c r="AO816" t="s">
        <v>653</v>
      </c>
      <c r="AP816" t="s">
        <v>654</v>
      </c>
      <c r="AQ816" t="s">
        <v>74</v>
      </c>
      <c r="AR816" t="s">
        <v>655</v>
      </c>
      <c r="AS816" t="s">
        <v>656</v>
      </c>
      <c r="AT816" t="s">
        <v>11645</v>
      </c>
      <c r="AU816">
        <v>2004</v>
      </c>
      <c r="AV816">
        <v>109</v>
      </c>
      <c r="AW816" t="s">
        <v>11632</v>
      </c>
      <c r="AX816" t="s">
        <v>74</v>
      </c>
      <c r="AY816" t="s">
        <v>74</v>
      </c>
      <c r="AZ816" t="s">
        <v>74</v>
      </c>
      <c r="BA816" t="s">
        <v>74</v>
      </c>
      <c r="BB816" t="s">
        <v>74</v>
      </c>
      <c r="BC816" t="s">
        <v>74</v>
      </c>
      <c r="BD816" t="s">
        <v>11661</v>
      </c>
      <c r="BE816" t="s">
        <v>11662</v>
      </c>
      <c r="BF816" t="str">
        <f>HYPERLINK("http://dx.doi.org/10.1029/2003JC002051","http://dx.doi.org/10.1029/2003JC002051")</f>
        <v>http://dx.doi.org/10.1029/2003JC002051</v>
      </c>
      <c r="BG816" t="s">
        <v>74</v>
      </c>
      <c r="BH816" t="s">
        <v>74</v>
      </c>
      <c r="BI816">
        <v>15</v>
      </c>
      <c r="BJ816" t="s">
        <v>660</v>
      </c>
      <c r="BK816" t="s">
        <v>139</v>
      </c>
      <c r="BL816" t="s">
        <v>660</v>
      </c>
      <c r="BM816" t="s">
        <v>11663</v>
      </c>
      <c r="BN816" t="s">
        <v>74</v>
      </c>
      <c r="BO816" t="s">
        <v>207</v>
      </c>
      <c r="BP816" t="s">
        <v>74</v>
      </c>
      <c r="BQ816" t="s">
        <v>74</v>
      </c>
      <c r="BR816" t="s">
        <v>98</v>
      </c>
      <c r="BS816" t="s">
        <v>11664</v>
      </c>
      <c r="BT816" t="str">
        <f>HYPERLINK("https%3A%2F%2Fwww.webofscience.com%2Fwos%2Fwoscc%2Ffull-record%2FWOS:000221911300002","View Full Record in Web of Science")</f>
        <v>View Full Record in Web of Science</v>
      </c>
    </row>
    <row r="817" spans="1:72" x14ac:dyDescent="0.15">
      <c r="A817" t="s">
        <v>122</v>
      </c>
      <c r="B817" t="s">
        <v>11665</v>
      </c>
      <c r="C817" t="s">
        <v>74</v>
      </c>
      <c r="D817" t="s">
        <v>74</v>
      </c>
      <c r="E817" t="s">
        <v>74</v>
      </c>
      <c r="F817" t="s">
        <v>11665</v>
      </c>
      <c r="G817" t="s">
        <v>74</v>
      </c>
      <c r="H817" t="s">
        <v>74</v>
      </c>
      <c r="I817" t="s">
        <v>11666</v>
      </c>
      <c r="J817" t="s">
        <v>11667</v>
      </c>
      <c r="K817" t="s">
        <v>74</v>
      </c>
      <c r="L817" t="s">
        <v>74</v>
      </c>
      <c r="M817" t="s">
        <v>79</v>
      </c>
      <c r="N817" t="s">
        <v>126</v>
      </c>
      <c r="O817" t="s">
        <v>74</v>
      </c>
      <c r="P817" t="s">
        <v>74</v>
      </c>
      <c r="Q817" t="s">
        <v>74</v>
      </c>
      <c r="R817" t="s">
        <v>74</v>
      </c>
      <c r="S817" t="s">
        <v>74</v>
      </c>
      <c r="T817" t="s">
        <v>11668</v>
      </c>
      <c r="U817" t="s">
        <v>11669</v>
      </c>
      <c r="V817" t="s">
        <v>11670</v>
      </c>
      <c r="W817" t="s">
        <v>11671</v>
      </c>
      <c r="X817" t="s">
        <v>11672</v>
      </c>
      <c r="Y817" t="s">
        <v>11673</v>
      </c>
      <c r="Z817" t="s">
        <v>11674</v>
      </c>
      <c r="AA817" t="s">
        <v>11675</v>
      </c>
      <c r="AB817" t="s">
        <v>11676</v>
      </c>
      <c r="AC817" t="s">
        <v>74</v>
      </c>
      <c r="AD817" t="s">
        <v>74</v>
      </c>
      <c r="AE817" t="s">
        <v>74</v>
      </c>
      <c r="AF817" t="s">
        <v>74</v>
      </c>
      <c r="AG817">
        <v>58</v>
      </c>
      <c r="AH817">
        <v>190</v>
      </c>
      <c r="AI817">
        <v>220</v>
      </c>
      <c r="AJ817">
        <v>1</v>
      </c>
      <c r="AK817">
        <v>10</v>
      </c>
      <c r="AL817" t="s">
        <v>562</v>
      </c>
      <c r="AM817" t="s">
        <v>532</v>
      </c>
      <c r="AN817" t="s">
        <v>563</v>
      </c>
      <c r="AO817" t="s">
        <v>11677</v>
      </c>
      <c r="AP817" t="s">
        <v>11678</v>
      </c>
      <c r="AQ817" t="s">
        <v>74</v>
      </c>
      <c r="AR817" t="s">
        <v>11679</v>
      </c>
      <c r="AS817" t="s">
        <v>11680</v>
      </c>
      <c r="AT817" t="s">
        <v>11681</v>
      </c>
      <c r="AU817">
        <v>2004</v>
      </c>
      <c r="AV817">
        <v>524</v>
      </c>
      <c r="AW817" t="s">
        <v>11682</v>
      </c>
      <c r="AX817" t="s">
        <v>74</v>
      </c>
      <c r="AY817" t="s">
        <v>74</v>
      </c>
      <c r="AZ817" t="s">
        <v>74</v>
      </c>
      <c r="BA817" t="s">
        <v>74</v>
      </c>
      <c r="BB817">
        <v>169</v>
      </c>
      <c r="BC817">
        <v>194</v>
      </c>
      <c r="BD817" t="s">
        <v>74</v>
      </c>
      <c r="BE817" t="s">
        <v>11683</v>
      </c>
      <c r="BF817" t="str">
        <f>HYPERLINK("http://dx.doi.org/10.1016/j.nima.2004.01.065","http://dx.doi.org/10.1016/j.nima.2004.01.065")</f>
        <v>http://dx.doi.org/10.1016/j.nima.2004.01.065</v>
      </c>
      <c r="BG817" t="s">
        <v>74</v>
      </c>
      <c r="BH817" t="s">
        <v>74</v>
      </c>
      <c r="BI817">
        <v>26</v>
      </c>
      <c r="BJ817" t="s">
        <v>11684</v>
      </c>
      <c r="BK817" t="s">
        <v>139</v>
      </c>
      <c r="BL817" t="s">
        <v>8111</v>
      </c>
      <c r="BM817" t="s">
        <v>11685</v>
      </c>
      <c r="BN817" t="s">
        <v>74</v>
      </c>
      <c r="BO817" t="s">
        <v>988</v>
      </c>
      <c r="BP817" t="s">
        <v>74</v>
      </c>
      <c r="BQ817" t="s">
        <v>74</v>
      </c>
      <c r="BR817" t="s">
        <v>98</v>
      </c>
      <c r="BS817" t="s">
        <v>11686</v>
      </c>
      <c r="BT817" t="str">
        <f>HYPERLINK("https%3A%2F%2Fwww.webofscience.com%2Fwos%2Fwoscc%2Ffull-record%2FWOS:000221679400018","View Full Record in Web of Science")</f>
        <v>View Full Record in Web of Science</v>
      </c>
    </row>
    <row r="818" spans="1:72" x14ac:dyDescent="0.15">
      <c r="A818" t="s">
        <v>122</v>
      </c>
      <c r="B818" t="s">
        <v>11687</v>
      </c>
      <c r="C818" t="s">
        <v>74</v>
      </c>
      <c r="D818" t="s">
        <v>74</v>
      </c>
      <c r="E818" t="s">
        <v>74</v>
      </c>
      <c r="F818" t="s">
        <v>11687</v>
      </c>
      <c r="G818" t="s">
        <v>74</v>
      </c>
      <c r="H818" t="s">
        <v>74</v>
      </c>
      <c r="I818" t="s">
        <v>11688</v>
      </c>
      <c r="J818" t="s">
        <v>10273</v>
      </c>
      <c r="K818" t="s">
        <v>74</v>
      </c>
      <c r="L818" t="s">
        <v>74</v>
      </c>
      <c r="M818" t="s">
        <v>79</v>
      </c>
      <c r="N818" t="s">
        <v>746</v>
      </c>
      <c r="O818" t="s">
        <v>74</v>
      </c>
      <c r="P818" t="s">
        <v>74</v>
      </c>
      <c r="Q818" t="s">
        <v>74</v>
      </c>
      <c r="R818" t="s">
        <v>74</v>
      </c>
      <c r="S818" t="s">
        <v>74</v>
      </c>
      <c r="T818" t="s">
        <v>74</v>
      </c>
      <c r="U818" t="s">
        <v>74</v>
      </c>
      <c r="V818" t="s">
        <v>74</v>
      </c>
      <c r="W818" t="s">
        <v>74</v>
      </c>
      <c r="X818" t="s">
        <v>74</v>
      </c>
      <c r="Y818" t="s">
        <v>74</v>
      </c>
      <c r="Z818" t="s">
        <v>74</v>
      </c>
      <c r="AA818" t="s">
        <v>74</v>
      </c>
      <c r="AB818" t="s">
        <v>74</v>
      </c>
      <c r="AC818" t="s">
        <v>74</v>
      </c>
      <c r="AD818" t="s">
        <v>74</v>
      </c>
      <c r="AE818" t="s">
        <v>74</v>
      </c>
      <c r="AF818" t="s">
        <v>74</v>
      </c>
      <c r="AG818">
        <v>1</v>
      </c>
      <c r="AH818">
        <v>0</v>
      </c>
      <c r="AI818">
        <v>0</v>
      </c>
      <c r="AJ818">
        <v>0</v>
      </c>
      <c r="AK818">
        <v>0</v>
      </c>
      <c r="AL818" t="s">
        <v>10274</v>
      </c>
      <c r="AM818" t="s">
        <v>10275</v>
      </c>
      <c r="AN818" t="s">
        <v>10276</v>
      </c>
      <c r="AO818" t="s">
        <v>10277</v>
      </c>
      <c r="AP818" t="s">
        <v>74</v>
      </c>
      <c r="AQ818" t="s">
        <v>74</v>
      </c>
      <c r="AR818" t="s">
        <v>10278</v>
      </c>
      <c r="AS818" t="s">
        <v>10279</v>
      </c>
      <c r="AT818" t="s">
        <v>11681</v>
      </c>
      <c r="AU818">
        <v>2004</v>
      </c>
      <c r="AV818" t="s">
        <v>74</v>
      </c>
      <c r="AW818">
        <v>5277</v>
      </c>
      <c r="AX818" t="s">
        <v>74</v>
      </c>
      <c r="AY818" t="s">
        <v>74</v>
      </c>
      <c r="AZ818" t="s">
        <v>74</v>
      </c>
      <c r="BA818" t="s">
        <v>74</v>
      </c>
      <c r="BB818">
        <v>32</v>
      </c>
      <c r="BC818">
        <v>32</v>
      </c>
      <c r="BD818" t="s">
        <v>74</v>
      </c>
      <c r="BE818" t="s">
        <v>74</v>
      </c>
      <c r="BF818" t="s">
        <v>74</v>
      </c>
      <c r="BG818" t="s">
        <v>74</v>
      </c>
      <c r="BH818" t="s">
        <v>74</v>
      </c>
      <c r="BI818">
        <v>1</v>
      </c>
      <c r="BJ818" t="s">
        <v>10280</v>
      </c>
      <c r="BK818" t="s">
        <v>3527</v>
      </c>
      <c r="BL818" t="s">
        <v>10281</v>
      </c>
      <c r="BM818" t="s">
        <v>11689</v>
      </c>
      <c r="BN818" t="s">
        <v>74</v>
      </c>
      <c r="BO818" t="s">
        <v>74</v>
      </c>
      <c r="BP818" t="s">
        <v>74</v>
      </c>
      <c r="BQ818" t="s">
        <v>74</v>
      </c>
      <c r="BR818" t="s">
        <v>98</v>
      </c>
      <c r="BS818" t="s">
        <v>11690</v>
      </c>
      <c r="BT818" t="str">
        <f>HYPERLINK("https%3A%2F%2Fwww.webofscience.com%2Fwos%2Fwoscc%2Ffull-record%2FWOS:000221759100052","View Full Record in Web of Science")</f>
        <v>View Full Record in Web of Science</v>
      </c>
    </row>
    <row r="819" spans="1:72" x14ac:dyDescent="0.15">
      <c r="A819" t="s">
        <v>122</v>
      </c>
      <c r="B819" t="s">
        <v>11691</v>
      </c>
      <c r="C819" t="s">
        <v>74</v>
      </c>
      <c r="D819" t="s">
        <v>74</v>
      </c>
      <c r="E819" t="s">
        <v>74</v>
      </c>
      <c r="F819" t="s">
        <v>11691</v>
      </c>
      <c r="G819" t="s">
        <v>74</v>
      </c>
      <c r="H819" t="s">
        <v>74</v>
      </c>
      <c r="I819" t="s">
        <v>11692</v>
      </c>
      <c r="J819" t="s">
        <v>8376</v>
      </c>
      <c r="K819" t="s">
        <v>74</v>
      </c>
      <c r="L819" t="s">
        <v>74</v>
      </c>
      <c r="M819" t="s">
        <v>79</v>
      </c>
      <c r="N819" t="s">
        <v>126</v>
      </c>
      <c r="O819" t="s">
        <v>74</v>
      </c>
      <c r="P819" t="s">
        <v>74</v>
      </c>
      <c r="Q819" t="s">
        <v>74</v>
      </c>
      <c r="R819" t="s">
        <v>74</v>
      </c>
      <c r="S819" t="s">
        <v>74</v>
      </c>
      <c r="T819" t="s">
        <v>11693</v>
      </c>
      <c r="U819" t="s">
        <v>11694</v>
      </c>
      <c r="V819" t="s">
        <v>11695</v>
      </c>
      <c r="W819" t="s">
        <v>11696</v>
      </c>
      <c r="X819" t="s">
        <v>4793</v>
      </c>
      <c r="Y819" t="s">
        <v>11697</v>
      </c>
      <c r="Z819" t="s">
        <v>11698</v>
      </c>
      <c r="AA819" t="s">
        <v>74</v>
      </c>
      <c r="AB819" t="s">
        <v>11699</v>
      </c>
      <c r="AC819" t="s">
        <v>74</v>
      </c>
      <c r="AD819" t="s">
        <v>74</v>
      </c>
      <c r="AE819" t="s">
        <v>74</v>
      </c>
      <c r="AF819" t="s">
        <v>74</v>
      </c>
      <c r="AG819">
        <v>63</v>
      </c>
      <c r="AH819">
        <v>17</v>
      </c>
      <c r="AI819">
        <v>19</v>
      </c>
      <c r="AJ819">
        <v>0</v>
      </c>
      <c r="AK819">
        <v>14</v>
      </c>
      <c r="AL819" t="s">
        <v>239</v>
      </c>
      <c r="AM819" t="s">
        <v>240</v>
      </c>
      <c r="AN819" t="s">
        <v>241</v>
      </c>
      <c r="AO819" t="s">
        <v>8386</v>
      </c>
      <c r="AP819" t="s">
        <v>8387</v>
      </c>
      <c r="AQ819" t="s">
        <v>74</v>
      </c>
      <c r="AR819" t="s">
        <v>8388</v>
      </c>
      <c r="AS819" t="s">
        <v>8389</v>
      </c>
      <c r="AT819" t="s">
        <v>11700</v>
      </c>
      <c r="AU819">
        <v>2004</v>
      </c>
      <c r="AV819">
        <v>18</v>
      </c>
      <c r="AW819">
        <v>2</v>
      </c>
      <c r="AX819" t="s">
        <v>74</v>
      </c>
      <c r="AY819" t="s">
        <v>74</v>
      </c>
      <c r="AZ819" t="s">
        <v>74</v>
      </c>
      <c r="BA819" t="s">
        <v>74</v>
      </c>
      <c r="BB819" t="s">
        <v>74</v>
      </c>
      <c r="BC819" t="s">
        <v>74</v>
      </c>
      <c r="BD819" t="s">
        <v>11701</v>
      </c>
      <c r="BE819" t="s">
        <v>11702</v>
      </c>
      <c r="BF819" t="str">
        <f>HYPERLINK("http://dx.doi.org/10.1029/2003GB002162","http://dx.doi.org/10.1029/2003GB002162")</f>
        <v>http://dx.doi.org/10.1029/2003GB002162</v>
      </c>
      <c r="BG819" t="s">
        <v>74</v>
      </c>
      <c r="BH819" t="s">
        <v>74</v>
      </c>
      <c r="BI819">
        <v>16</v>
      </c>
      <c r="BJ819" t="s">
        <v>8393</v>
      </c>
      <c r="BK819" t="s">
        <v>139</v>
      </c>
      <c r="BL819" t="s">
        <v>8394</v>
      </c>
      <c r="BM819" t="s">
        <v>11703</v>
      </c>
      <c r="BN819" t="s">
        <v>74</v>
      </c>
      <c r="BO819" t="s">
        <v>9547</v>
      </c>
      <c r="BP819" t="s">
        <v>74</v>
      </c>
      <c r="BQ819" t="s">
        <v>74</v>
      </c>
      <c r="BR819" t="s">
        <v>98</v>
      </c>
      <c r="BS819" t="s">
        <v>11704</v>
      </c>
      <c r="BT819" t="str">
        <f>HYPERLINK("https%3A%2F%2Fwww.webofscience.com%2Fwos%2Fwoscc%2Ffull-record%2FWOS:000221610700001","View Full Record in Web of Science")</f>
        <v>View Full Record in Web of Science</v>
      </c>
    </row>
    <row r="820" spans="1:72" x14ac:dyDescent="0.15">
      <c r="A820" t="s">
        <v>122</v>
      </c>
      <c r="B820" t="s">
        <v>11705</v>
      </c>
      <c r="C820" t="s">
        <v>74</v>
      </c>
      <c r="D820" t="s">
        <v>74</v>
      </c>
      <c r="E820" t="s">
        <v>74</v>
      </c>
      <c r="F820" t="s">
        <v>11705</v>
      </c>
      <c r="G820" t="s">
        <v>74</v>
      </c>
      <c r="H820" t="s">
        <v>74</v>
      </c>
      <c r="I820" t="s">
        <v>11706</v>
      </c>
      <c r="J820" t="s">
        <v>475</v>
      </c>
      <c r="K820" t="s">
        <v>74</v>
      </c>
      <c r="L820" t="s">
        <v>74</v>
      </c>
      <c r="M820" t="s">
        <v>79</v>
      </c>
      <c r="N820" t="s">
        <v>126</v>
      </c>
      <c r="O820" t="s">
        <v>74</v>
      </c>
      <c r="P820" t="s">
        <v>74</v>
      </c>
      <c r="Q820" t="s">
        <v>74</v>
      </c>
      <c r="R820" t="s">
        <v>74</v>
      </c>
      <c r="S820" t="s">
        <v>74</v>
      </c>
      <c r="T820" t="s">
        <v>11707</v>
      </c>
      <c r="U820" t="s">
        <v>11708</v>
      </c>
      <c r="V820" t="s">
        <v>11709</v>
      </c>
      <c r="W820" t="s">
        <v>11710</v>
      </c>
      <c r="X820" t="s">
        <v>11711</v>
      </c>
      <c r="Y820" t="s">
        <v>11712</v>
      </c>
      <c r="Z820" t="s">
        <v>11713</v>
      </c>
      <c r="AA820" t="s">
        <v>11714</v>
      </c>
      <c r="AB820" t="s">
        <v>11715</v>
      </c>
      <c r="AC820" t="s">
        <v>74</v>
      </c>
      <c r="AD820" t="s">
        <v>74</v>
      </c>
      <c r="AE820" t="s">
        <v>74</v>
      </c>
      <c r="AF820" t="s">
        <v>74</v>
      </c>
      <c r="AG820">
        <v>33</v>
      </c>
      <c r="AH820">
        <v>46</v>
      </c>
      <c r="AI820">
        <v>46</v>
      </c>
      <c r="AJ820">
        <v>0</v>
      </c>
      <c r="AK820">
        <v>3</v>
      </c>
      <c r="AL820" t="s">
        <v>239</v>
      </c>
      <c r="AM820" t="s">
        <v>240</v>
      </c>
      <c r="AN820" t="s">
        <v>241</v>
      </c>
      <c r="AO820" t="s">
        <v>484</v>
      </c>
      <c r="AP820" t="s">
        <v>485</v>
      </c>
      <c r="AQ820" t="s">
        <v>74</v>
      </c>
      <c r="AR820" t="s">
        <v>486</v>
      </c>
      <c r="AS820" t="s">
        <v>487</v>
      </c>
      <c r="AT820" t="s">
        <v>11700</v>
      </c>
      <c r="AU820">
        <v>2004</v>
      </c>
      <c r="AV820">
        <v>109</v>
      </c>
      <c r="AW820" t="s">
        <v>11716</v>
      </c>
      <c r="AX820" t="s">
        <v>74</v>
      </c>
      <c r="AY820" t="s">
        <v>74</v>
      </c>
      <c r="AZ820" t="s">
        <v>74</v>
      </c>
      <c r="BA820" t="s">
        <v>74</v>
      </c>
      <c r="BB820" t="s">
        <v>74</v>
      </c>
      <c r="BC820" t="s">
        <v>74</v>
      </c>
      <c r="BD820" t="s">
        <v>11717</v>
      </c>
      <c r="BE820" t="s">
        <v>11718</v>
      </c>
      <c r="BF820" t="str">
        <f>HYPERLINK("http://dx.doi.org/10.1029/2003JA010335","http://dx.doi.org/10.1029/2003JA010335")</f>
        <v>http://dx.doi.org/10.1029/2003JA010335</v>
      </c>
      <c r="BG820" t="s">
        <v>74</v>
      </c>
      <c r="BH820" t="s">
        <v>74</v>
      </c>
      <c r="BI820">
        <v>15</v>
      </c>
      <c r="BJ820" t="s">
        <v>491</v>
      </c>
      <c r="BK820" t="s">
        <v>139</v>
      </c>
      <c r="BL820" t="s">
        <v>491</v>
      </c>
      <c r="BM820" t="s">
        <v>11719</v>
      </c>
      <c r="BN820" t="s">
        <v>74</v>
      </c>
      <c r="BO820" t="s">
        <v>273</v>
      </c>
      <c r="BP820" t="s">
        <v>74</v>
      </c>
      <c r="BQ820" t="s">
        <v>74</v>
      </c>
      <c r="BR820" t="s">
        <v>98</v>
      </c>
      <c r="BS820" t="s">
        <v>11720</v>
      </c>
      <c r="BT820" t="str">
        <f>HYPERLINK("https%3A%2F%2Fwww.webofscience.com%2Fwos%2Fwoscc%2Ffull-record%2FWOS:000221613600001","View Full Record in Web of Science")</f>
        <v>View Full Record in Web of Science</v>
      </c>
    </row>
    <row r="821" spans="1:72" x14ac:dyDescent="0.15">
      <c r="A821" t="s">
        <v>122</v>
      </c>
      <c r="B821" t="s">
        <v>11721</v>
      </c>
      <c r="C821" t="s">
        <v>74</v>
      </c>
      <c r="D821" t="s">
        <v>74</v>
      </c>
      <c r="E821" t="s">
        <v>74</v>
      </c>
      <c r="F821" t="s">
        <v>11721</v>
      </c>
      <c r="G821" t="s">
        <v>74</v>
      </c>
      <c r="H821" t="s">
        <v>74</v>
      </c>
      <c r="I821" t="s">
        <v>11722</v>
      </c>
      <c r="J821" t="s">
        <v>496</v>
      </c>
      <c r="K821" t="s">
        <v>74</v>
      </c>
      <c r="L821" t="s">
        <v>74</v>
      </c>
      <c r="M821" t="s">
        <v>79</v>
      </c>
      <c r="N821" t="s">
        <v>126</v>
      </c>
      <c r="O821" t="s">
        <v>74</v>
      </c>
      <c r="P821" t="s">
        <v>74</v>
      </c>
      <c r="Q821" t="s">
        <v>74</v>
      </c>
      <c r="R821" t="s">
        <v>74</v>
      </c>
      <c r="S821" t="s">
        <v>74</v>
      </c>
      <c r="T821" t="s">
        <v>11723</v>
      </c>
      <c r="U821" t="s">
        <v>11724</v>
      </c>
      <c r="V821" t="s">
        <v>11725</v>
      </c>
      <c r="W821" t="s">
        <v>11726</v>
      </c>
      <c r="X821" t="s">
        <v>11727</v>
      </c>
      <c r="Y821" t="s">
        <v>11728</v>
      </c>
      <c r="Z821" t="s">
        <v>11729</v>
      </c>
      <c r="AA821" t="s">
        <v>74</v>
      </c>
      <c r="AB821" t="s">
        <v>11730</v>
      </c>
      <c r="AC821" t="s">
        <v>74</v>
      </c>
      <c r="AD821" t="s">
        <v>74</v>
      </c>
      <c r="AE821" t="s">
        <v>74</v>
      </c>
      <c r="AF821" t="s">
        <v>74</v>
      </c>
      <c r="AG821">
        <v>95</v>
      </c>
      <c r="AH821">
        <v>63</v>
      </c>
      <c r="AI821">
        <v>65</v>
      </c>
      <c r="AJ821">
        <v>0</v>
      </c>
      <c r="AK821">
        <v>21</v>
      </c>
      <c r="AL821" t="s">
        <v>506</v>
      </c>
      <c r="AM821" t="s">
        <v>507</v>
      </c>
      <c r="AN821" t="s">
        <v>508</v>
      </c>
      <c r="AO821" t="s">
        <v>509</v>
      </c>
      <c r="AP821" t="s">
        <v>510</v>
      </c>
      <c r="AQ821" t="s">
        <v>74</v>
      </c>
      <c r="AR821" t="s">
        <v>511</v>
      </c>
      <c r="AS821" t="s">
        <v>512</v>
      </c>
      <c r="AT821" t="s">
        <v>11731</v>
      </c>
      <c r="AU821">
        <v>2004</v>
      </c>
      <c r="AV821">
        <v>35</v>
      </c>
      <c r="AW821">
        <v>3</v>
      </c>
      <c r="AX821" t="s">
        <v>74</v>
      </c>
      <c r="AY821" t="s">
        <v>74</v>
      </c>
      <c r="AZ821" t="s">
        <v>74</v>
      </c>
      <c r="BA821" t="s">
        <v>74</v>
      </c>
      <c r="BB821">
        <v>283</v>
      </c>
      <c r="BC821">
        <v>296</v>
      </c>
      <c r="BD821" t="s">
        <v>74</v>
      </c>
      <c r="BE821" t="s">
        <v>11732</v>
      </c>
      <c r="BF821" t="str">
        <f>HYPERLINK("http://dx.doi.org/10.3354/ame035283","http://dx.doi.org/10.3354/ame035283")</f>
        <v>http://dx.doi.org/10.3354/ame035283</v>
      </c>
      <c r="BG821" t="s">
        <v>74</v>
      </c>
      <c r="BH821" t="s">
        <v>74</v>
      </c>
      <c r="BI821">
        <v>14</v>
      </c>
      <c r="BJ821" t="s">
        <v>515</v>
      </c>
      <c r="BK821" t="s">
        <v>139</v>
      </c>
      <c r="BL821" t="s">
        <v>516</v>
      </c>
      <c r="BM821" t="s">
        <v>11733</v>
      </c>
      <c r="BN821" t="s">
        <v>74</v>
      </c>
      <c r="BO821" t="s">
        <v>273</v>
      </c>
      <c r="BP821" t="s">
        <v>74</v>
      </c>
      <c r="BQ821" t="s">
        <v>74</v>
      </c>
      <c r="BR821" t="s">
        <v>98</v>
      </c>
      <c r="BS821" t="s">
        <v>11734</v>
      </c>
      <c r="BT821" t="str">
        <f>HYPERLINK("https%3A%2F%2Fwww.webofscience.com%2Fwos%2Fwoscc%2Ffull-record%2FWOS:000221970000007","View Full Record in Web of Science")</f>
        <v>View Full Record in Web of Science</v>
      </c>
    </row>
    <row r="822" spans="1:72" x14ac:dyDescent="0.15">
      <c r="A822" t="s">
        <v>122</v>
      </c>
      <c r="B822" t="s">
        <v>11735</v>
      </c>
      <c r="C822" t="s">
        <v>74</v>
      </c>
      <c r="D822" t="s">
        <v>74</v>
      </c>
      <c r="E822" t="s">
        <v>74</v>
      </c>
      <c r="F822" t="s">
        <v>11735</v>
      </c>
      <c r="G822" t="s">
        <v>74</v>
      </c>
      <c r="H822" t="s">
        <v>74</v>
      </c>
      <c r="I822" t="s">
        <v>11736</v>
      </c>
      <c r="J822" t="s">
        <v>277</v>
      </c>
      <c r="K822" t="s">
        <v>74</v>
      </c>
      <c r="L822" t="s">
        <v>74</v>
      </c>
      <c r="M822" t="s">
        <v>79</v>
      </c>
      <c r="N822" t="s">
        <v>126</v>
      </c>
      <c r="O822" t="s">
        <v>74</v>
      </c>
      <c r="P822" t="s">
        <v>74</v>
      </c>
      <c r="Q822" t="s">
        <v>74</v>
      </c>
      <c r="R822" t="s">
        <v>74</v>
      </c>
      <c r="S822" t="s">
        <v>74</v>
      </c>
      <c r="T822" t="s">
        <v>11737</v>
      </c>
      <c r="U822" t="s">
        <v>11738</v>
      </c>
      <c r="V822" t="s">
        <v>11739</v>
      </c>
      <c r="W822" t="s">
        <v>11740</v>
      </c>
      <c r="X822" t="s">
        <v>11741</v>
      </c>
      <c r="Y822" t="s">
        <v>11742</v>
      </c>
      <c r="Z822" t="s">
        <v>11743</v>
      </c>
      <c r="AA822" t="s">
        <v>11744</v>
      </c>
      <c r="AB822" t="s">
        <v>11745</v>
      </c>
      <c r="AC822" t="s">
        <v>74</v>
      </c>
      <c r="AD822" t="s">
        <v>74</v>
      </c>
      <c r="AE822" t="s">
        <v>74</v>
      </c>
      <c r="AF822" t="s">
        <v>74</v>
      </c>
      <c r="AG822">
        <v>43</v>
      </c>
      <c r="AH822">
        <v>11</v>
      </c>
      <c r="AI822">
        <v>11</v>
      </c>
      <c r="AJ822">
        <v>0</v>
      </c>
      <c r="AK822">
        <v>1</v>
      </c>
      <c r="AL822" t="s">
        <v>239</v>
      </c>
      <c r="AM822" t="s">
        <v>240</v>
      </c>
      <c r="AN822" t="s">
        <v>241</v>
      </c>
      <c r="AO822" t="s">
        <v>284</v>
      </c>
      <c r="AP822" t="s">
        <v>285</v>
      </c>
      <c r="AQ822" t="s">
        <v>74</v>
      </c>
      <c r="AR822" t="s">
        <v>286</v>
      </c>
      <c r="AS822" t="s">
        <v>287</v>
      </c>
      <c r="AT822" t="s">
        <v>11731</v>
      </c>
      <c r="AU822">
        <v>2004</v>
      </c>
      <c r="AV822">
        <v>109</v>
      </c>
      <c r="AW822" t="s">
        <v>11746</v>
      </c>
      <c r="AX822" t="s">
        <v>74</v>
      </c>
      <c r="AY822" t="s">
        <v>74</v>
      </c>
      <c r="AZ822" t="s">
        <v>74</v>
      </c>
      <c r="BA822" t="s">
        <v>74</v>
      </c>
      <c r="BB822" t="s">
        <v>74</v>
      </c>
      <c r="BC822" t="s">
        <v>74</v>
      </c>
      <c r="BD822" t="s">
        <v>11747</v>
      </c>
      <c r="BE822" t="s">
        <v>11748</v>
      </c>
      <c r="BF822" t="str">
        <f>HYPERLINK("http://dx.doi.org/10.1029/2003JD004365","http://dx.doi.org/10.1029/2003JD004365")</f>
        <v>http://dx.doi.org/10.1029/2003JD004365</v>
      </c>
      <c r="BG822" t="s">
        <v>74</v>
      </c>
      <c r="BH822" t="s">
        <v>74</v>
      </c>
      <c r="BI822">
        <v>13</v>
      </c>
      <c r="BJ822" t="s">
        <v>291</v>
      </c>
      <c r="BK822" t="s">
        <v>139</v>
      </c>
      <c r="BL822" t="s">
        <v>291</v>
      </c>
      <c r="BM822" t="s">
        <v>11749</v>
      </c>
      <c r="BN822" t="s">
        <v>74</v>
      </c>
      <c r="BO822" t="s">
        <v>207</v>
      </c>
      <c r="BP822" t="s">
        <v>74</v>
      </c>
      <c r="BQ822" t="s">
        <v>74</v>
      </c>
      <c r="BR822" t="s">
        <v>98</v>
      </c>
      <c r="BS822" t="s">
        <v>11750</v>
      </c>
      <c r="BT822" t="str">
        <f>HYPERLINK("https%3A%2F%2Fwww.webofscience.com%2Fwos%2Fwoscc%2Ffull-record%2FWOS:000221611200002","View Full Record in Web of Science")</f>
        <v>View Full Record in Web of Science</v>
      </c>
    </row>
    <row r="823" spans="1:72" x14ac:dyDescent="0.15">
      <c r="A823" t="s">
        <v>122</v>
      </c>
      <c r="B823" t="s">
        <v>11751</v>
      </c>
      <c r="C823" t="s">
        <v>74</v>
      </c>
      <c r="D823" t="s">
        <v>74</v>
      </c>
      <c r="E823" t="s">
        <v>74</v>
      </c>
      <c r="F823" t="s">
        <v>11751</v>
      </c>
      <c r="G823" t="s">
        <v>74</v>
      </c>
      <c r="H823" t="s">
        <v>74</v>
      </c>
      <c r="I823" t="s">
        <v>11752</v>
      </c>
      <c r="J823" t="s">
        <v>230</v>
      </c>
      <c r="K823" t="s">
        <v>74</v>
      </c>
      <c r="L823" t="s">
        <v>74</v>
      </c>
      <c r="M823" t="s">
        <v>79</v>
      </c>
      <c r="N823" t="s">
        <v>126</v>
      </c>
      <c r="O823" t="s">
        <v>74</v>
      </c>
      <c r="P823" t="s">
        <v>74</v>
      </c>
      <c r="Q823" t="s">
        <v>74</v>
      </c>
      <c r="R823" t="s">
        <v>74</v>
      </c>
      <c r="S823" t="s">
        <v>74</v>
      </c>
      <c r="T823" t="s">
        <v>74</v>
      </c>
      <c r="U823" t="s">
        <v>11753</v>
      </c>
      <c r="V823" t="s">
        <v>11754</v>
      </c>
      <c r="W823" t="s">
        <v>11755</v>
      </c>
      <c r="X823" t="s">
        <v>11756</v>
      </c>
      <c r="Y823" t="s">
        <v>11757</v>
      </c>
      <c r="Z823" t="s">
        <v>11758</v>
      </c>
      <c r="AA823" t="s">
        <v>11759</v>
      </c>
      <c r="AB823" t="s">
        <v>74</v>
      </c>
      <c r="AC823" t="s">
        <v>74</v>
      </c>
      <c r="AD823" t="s">
        <v>74</v>
      </c>
      <c r="AE823" t="s">
        <v>74</v>
      </c>
      <c r="AF823" t="s">
        <v>74</v>
      </c>
      <c r="AG823">
        <v>21</v>
      </c>
      <c r="AH823">
        <v>167</v>
      </c>
      <c r="AI823">
        <v>212</v>
      </c>
      <c r="AJ823">
        <v>5</v>
      </c>
      <c r="AK823">
        <v>59</v>
      </c>
      <c r="AL823" t="s">
        <v>239</v>
      </c>
      <c r="AM823" t="s">
        <v>240</v>
      </c>
      <c r="AN823" t="s">
        <v>241</v>
      </c>
      <c r="AO823" t="s">
        <v>242</v>
      </c>
      <c r="AP823" t="s">
        <v>341</v>
      </c>
      <c r="AQ823" t="s">
        <v>74</v>
      </c>
      <c r="AR823" t="s">
        <v>243</v>
      </c>
      <c r="AS823" t="s">
        <v>244</v>
      </c>
      <c r="AT823" t="s">
        <v>11760</v>
      </c>
      <c r="AU823">
        <v>2004</v>
      </c>
      <c r="AV823">
        <v>31</v>
      </c>
      <c r="AW823">
        <v>10</v>
      </c>
      <c r="AX823" t="s">
        <v>74</v>
      </c>
      <c r="AY823" t="s">
        <v>74</v>
      </c>
      <c r="AZ823" t="s">
        <v>74</v>
      </c>
      <c r="BA823" t="s">
        <v>74</v>
      </c>
      <c r="BB823" t="s">
        <v>74</v>
      </c>
      <c r="BC823" t="s">
        <v>74</v>
      </c>
      <c r="BD823" t="s">
        <v>11761</v>
      </c>
      <c r="BE823" t="s">
        <v>11762</v>
      </c>
      <c r="BF823" t="str">
        <f>HYPERLINK("http://dx.doi.org/10.1029/2004GL019465","http://dx.doi.org/10.1029/2004GL019465")</f>
        <v>http://dx.doi.org/10.1029/2004GL019465</v>
      </c>
      <c r="BG823" t="s">
        <v>74</v>
      </c>
      <c r="BH823" t="s">
        <v>74</v>
      </c>
      <c r="BI823">
        <v>4</v>
      </c>
      <c r="BJ823" t="s">
        <v>248</v>
      </c>
      <c r="BK823" t="s">
        <v>139</v>
      </c>
      <c r="BL823" t="s">
        <v>249</v>
      </c>
      <c r="BM823" t="s">
        <v>11763</v>
      </c>
      <c r="BN823" t="s">
        <v>74</v>
      </c>
      <c r="BO823" t="s">
        <v>2867</v>
      </c>
      <c r="BP823" t="s">
        <v>74</v>
      </c>
      <c r="BQ823" t="s">
        <v>74</v>
      </c>
      <c r="BR823" t="s">
        <v>98</v>
      </c>
      <c r="BS823" t="s">
        <v>11764</v>
      </c>
      <c r="BT823" t="str">
        <f>HYPERLINK("https%3A%2F%2Fwww.webofscience.com%2Fwos%2Fwoscc%2Ffull-record%2FWOS:000221610100001","View Full Record in Web of Science")</f>
        <v>View Full Record in Web of Science</v>
      </c>
    </row>
    <row r="824" spans="1:72" x14ac:dyDescent="0.15">
      <c r="A824" t="s">
        <v>122</v>
      </c>
      <c r="B824" t="s">
        <v>11765</v>
      </c>
      <c r="C824" t="s">
        <v>74</v>
      </c>
      <c r="D824" t="s">
        <v>74</v>
      </c>
      <c r="E824" t="s">
        <v>74</v>
      </c>
      <c r="F824" t="s">
        <v>11765</v>
      </c>
      <c r="G824" t="s">
        <v>74</v>
      </c>
      <c r="H824" t="s">
        <v>74</v>
      </c>
      <c r="I824" t="s">
        <v>11766</v>
      </c>
      <c r="J824" t="s">
        <v>8376</v>
      </c>
      <c r="K824" t="s">
        <v>74</v>
      </c>
      <c r="L824" t="s">
        <v>74</v>
      </c>
      <c r="M824" t="s">
        <v>79</v>
      </c>
      <c r="N824" t="s">
        <v>581</v>
      </c>
      <c r="O824" t="s">
        <v>74</v>
      </c>
      <c r="P824" t="s">
        <v>74</v>
      </c>
      <c r="Q824" t="s">
        <v>74</v>
      </c>
      <c r="R824" t="s">
        <v>74</v>
      </c>
      <c r="S824" t="s">
        <v>74</v>
      </c>
      <c r="T824" t="s">
        <v>11767</v>
      </c>
      <c r="U824" t="s">
        <v>11768</v>
      </c>
      <c r="V824" t="s">
        <v>11769</v>
      </c>
      <c r="W824" t="s">
        <v>11770</v>
      </c>
      <c r="X824" t="s">
        <v>11771</v>
      </c>
      <c r="Y824" t="s">
        <v>11772</v>
      </c>
      <c r="Z824" t="s">
        <v>11773</v>
      </c>
      <c r="AA824" t="s">
        <v>11774</v>
      </c>
      <c r="AB824" t="s">
        <v>11775</v>
      </c>
      <c r="AC824" t="s">
        <v>74</v>
      </c>
      <c r="AD824" t="s">
        <v>74</v>
      </c>
      <c r="AE824" t="s">
        <v>74</v>
      </c>
      <c r="AF824" t="s">
        <v>74</v>
      </c>
      <c r="AG824">
        <v>111</v>
      </c>
      <c r="AH824">
        <v>58</v>
      </c>
      <c r="AI824">
        <v>68</v>
      </c>
      <c r="AJ824">
        <v>2</v>
      </c>
      <c r="AK824">
        <v>47</v>
      </c>
      <c r="AL824" t="s">
        <v>239</v>
      </c>
      <c r="AM824" t="s">
        <v>240</v>
      </c>
      <c r="AN824" t="s">
        <v>241</v>
      </c>
      <c r="AO824" t="s">
        <v>8386</v>
      </c>
      <c r="AP824" t="s">
        <v>8387</v>
      </c>
      <c r="AQ824" t="s">
        <v>74</v>
      </c>
      <c r="AR824" t="s">
        <v>8388</v>
      </c>
      <c r="AS824" t="s">
        <v>8389</v>
      </c>
      <c r="AT824" t="s">
        <v>11760</v>
      </c>
      <c r="AU824">
        <v>2004</v>
      </c>
      <c r="AV824">
        <v>18</v>
      </c>
      <c r="AW824">
        <v>2</v>
      </c>
      <c r="AX824" t="s">
        <v>74</v>
      </c>
      <c r="AY824" t="s">
        <v>74</v>
      </c>
      <c r="AZ824" t="s">
        <v>74</v>
      </c>
      <c r="BA824" t="s">
        <v>74</v>
      </c>
      <c r="BB824" t="s">
        <v>74</v>
      </c>
      <c r="BC824" t="s">
        <v>74</v>
      </c>
      <c r="BD824" t="s">
        <v>11776</v>
      </c>
      <c r="BE824" t="s">
        <v>11777</v>
      </c>
      <c r="BF824" t="str">
        <f>HYPERLINK("http://dx.doi.org/10.1029/2003GB002144","http://dx.doi.org/10.1029/2003GB002144")</f>
        <v>http://dx.doi.org/10.1029/2003GB002144</v>
      </c>
      <c r="BG824" t="s">
        <v>74</v>
      </c>
      <c r="BH824" t="s">
        <v>74</v>
      </c>
      <c r="BI824">
        <v>18</v>
      </c>
      <c r="BJ824" t="s">
        <v>8393</v>
      </c>
      <c r="BK824" t="s">
        <v>139</v>
      </c>
      <c r="BL824" t="s">
        <v>8394</v>
      </c>
      <c r="BM824" t="s">
        <v>11778</v>
      </c>
      <c r="BN824" t="s">
        <v>74</v>
      </c>
      <c r="BO824" t="s">
        <v>207</v>
      </c>
      <c r="BP824" t="s">
        <v>74</v>
      </c>
      <c r="BQ824" t="s">
        <v>74</v>
      </c>
      <c r="BR824" t="s">
        <v>98</v>
      </c>
      <c r="BS824" t="s">
        <v>11779</v>
      </c>
      <c r="BT824" t="str">
        <f>HYPERLINK("https%3A%2F%2Fwww.webofscience.com%2Fwos%2Fwoscc%2Ffull-record%2FWOS:000221610600001","View Full Record in Web of Science")</f>
        <v>View Full Record in Web of Science</v>
      </c>
    </row>
    <row r="825" spans="1:72" x14ac:dyDescent="0.15">
      <c r="A825" t="s">
        <v>122</v>
      </c>
      <c r="B825" t="s">
        <v>11780</v>
      </c>
      <c r="C825" t="s">
        <v>74</v>
      </c>
      <c r="D825" t="s">
        <v>74</v>
      </c>
      <c r="E825" t="s">
        <v>74</v>
      </c>
      <c r="F825" t="s">
        <v>11780</v>
      </c>
      <c r="G825" t="s">
        <v>74</v>
      </c>
      <c r="H825" t="s">
        <v>74</v>
      </c>
      <c r="I825" t="s">
        <v>11781</v>
      </c>
      <c r="J825" t="s">
        <v>11782</v>
      </c>
      <c r="K825" t="s">
        <v>74</v>
      </c>
      <c r="L825" t="s">
        <v>74</v>
      </c>
      <c r="M825" t="s">
        <v>79</v>
      </c>
      <c r="N825" t="s">
        <v>126</v>
      </c>
      <c r="O825" t="s">
        <v>74</v>
      </c>
      <c r="P825" t="s">
        <v>74</v>
      </c>
      <c r="Q825" t="s">
        <v>74</v>
      </c>
      <c r="R825" t="s">
        <v>74</v>
      </c>
      <c r="S825" t="s">
        <v>74</v>
      </c>
      <c r="T825" t="s">
        <v>74</v>
      </c>
      <c r="U825" t="s">
        <v>11783</v>
      </c>
      <c r="V825" t="s">
        <v>11784</v>
      </c>
      <c r="W825" t="s">
        <v>11785</v>
      </c>
      <c r="X825" t="s">
        <v>11786</v>
      </c>
      <c r="Y825" t="s">
        <v>11787</v>
      </c>
      <c r="Z825" t="s">
        <v>11788</v>
      </c>
      <c r="AA825" t="s">
        <v>11789</v>
      </c>
      <c r="AB825" t="s">
        <v>11790</v>
      </c>
      <c r="AC825" t="s">
        <v>11791</v>
      </c>
      <c r="AD825" t="s">
        <v>635</v>
      </c>
      <c r="AE825" t="s">
        <v>74</v>
      </c>
      <c r="AF825" t="s">
        <v>74</v>
      </c>
      <c r="AG825">
        <v>46</v>
      </c>
      <c r="AH825">
        <v>160</v>
      </c>
      <c r="AI825">
        <v>181</v>
      </c>
      <c r="AJ825">
        <v>1</v>
      </c>
      <c r="AK825">
        <v>28</v>
      </c>
      <c r="AL825" t="s">
        <v>11792</v>
      </c>
      <c r="AM825" t="s">
        <v>240</v>
      </c>
      <c r="AN825" t="s">
        <v>11793</v>
      </c>
      <c r="AO825" t="s">
        <v>11794</v>
      </c>
      <c r="AP825" t="s">
        <v>74</v>
      </c>
      <c r="AQ825" t="s">
        <v>74</v>
      </c>
      <c r="AR825" t="s">
        <v>11795</v>
      </c>
      <c r="AS825" t="s">
        <v>11796</v>
      </c>
      <c r="AT825" t="s">
        <v>11760</v>
      </c>
      <c r="AU825">
        <v>2004</v>
      </c>
      <c r="AV825">
        <v>101</v>
      </c>
      <c r="AW825">
        <v>20</v>
      </c>
      <c r="AX825" t="s">
        <v>74</v>
      </c>
      <c r="AY825" t="s">
        <v>74</v>
      </c>
      <c r="AZ825" t="s">
        <v>74</v>
      </c>
      <c r="BA825" t="s">
        <v>74</v>
      </c>
      <c r="BB825">
        <v>7657</v>
      </c>
      <c r="BC825">
        <v>7662</v>
      </c>
      <c r="BD825" t="s">
        <v>74</v>
      </c>
      <c r="BE825" t="s">
        <v>11797</v>
      </c>
      <c r="BF825" t="str">
        <f>HYPERLINK("http://dx.doi.org/10.1073/pnas.0402401101","http://dx.doi.org/10.1073/pnas.0402401101")</f>
        <v>http://dx.doi.org/10.1073/pnas.0402401101</v>
      </c>
      <c r="BG825" t="s">
        <v>74</v>
      </c>
      <c r="BH825" t="s">
        <v>74</v>
      </c>
      <c r="BI825">
        <v>6</v>
      </c>
      <c r="BJ825" t="s">
        <v>381</v>
      </c>
      <c r="BK825" t="s">
        <v>139</v>
      </c>
      <c r="BL825" t="s">
        <v>382</v>
      </c>
      <c r="BM825" t="s">
        <v>11798</v>
      </c>
      <c r="BN825">
        <v>15136732</v>
      </c>
      <c r="BO825" t="s">
        <v>329</v>
      </c>
      <c r="BP825" t="s">
        <v>74</v>
      </c>
      <c r="BQ825" t="s">
        <v>74</v>
      </c>
      <c r="BR825" t="s">
        <v>98</v>
      </c>
      <c r="BS825" t="s">
        <v>11799</v>
      </c>
      <c r="BT825" t="str">
        <f>HYPERLINK("https%3A%2F%2Fwww.webofscience.com%2Fwos%2Fwoscc%2Ffull-record%2FWOS:000221528100032","View Full Record in Web of Science")</f>
        <v>View Full Record in Web of Science</v>
      </c>
    </row>
    <row r="826" spans="1:72" x14ac:dyDescent="0.15">
      <c r="A826" t="s">
        <v>122</v>
      </c>
      <c r="B826" t="s">
        <v>11800</v>
      </c>
      <c r="C826" t="s">
        <v>74</v>
      </c>
      <c r="D826" t="s">
        <v>74</v>
      </c>
      <c r="E826" t="s">
        <v>74</v>
      </c>
      <c r="F826" t="s">
        <v>11800</v>
      </c>
      <c r="G826" t="s">
        <v>74</v>
      </c>
      <c r="H826" t="s">
        <v>74</v>
      </c>
      <c r="I826" t="s">
        <v>11801</v>
      </c>
      <c r="J826" t="s">
        <v>230</v>
      </c>
      <c r="K826" t="s">
        <v>74</v>
      </c>
      <c r="L826" t="s">
        <v>74</v>
      </c>
      <c r="M826" t="s">
        <v>79</v>
      </c>
      <c r="N826" t="s">
        <v>126</v>
      </c>
      <c r="O826" t="s">
        <v>74</v>
      </c>
      <c r="P826" t="s">
        <v>74</v>
      </c>
      <c r="Q826" t="s">
        <v>74</v>
      </c>
      <c r="R826" t="s">
        <v>74</v>
      </c>
      <c r="S826" t="s">
        <v>74</v>
      </c>
      <c r="T826" t="s">
        <v>74</v>
      </c>
      <c r="U826" t="s">
        <v>11802</v>
      </c>
      <c r="V826" t="s">
        <v>11803</v>
      </c>
      <c r="W826" t="s">
        <v>11804</v>
      </c>
      <c r="X826" t="s">
        <v>11805</v>
      </c>
      <c r="Y826" t="s">
        <v>11806</v>
      </c>
      <c r="Z826" t="s">
        <v>11807</v>
      </c>
      <c r="AA826" t="s">
        <v>11808</v>
      </c>
      <c r="AB826" t="s">
        <v>11809</v>
      </c>
      <c r="AC826" t="s">
        <v>74</v>
      </c>
      <c r="AD826" t="s">
        <v>74</v>
      </c>
      <c r="AE826" t="s">
        <v>74</v>
      </c>
      <c r="AF826" t="s">
        <v>74</v>
      </c>
      <c r="AG826">
        <v>17</v>
      </c>
      <c r="AH826">
        <v>32</v>
      </c>
      <c r="AI826">
        <v>36</v>
      </c>
      <c r="AJ826">
        <v>0</v>
      </c>
      <c r="AK826">
        <v>9</v>
      </c>
      <c r="AL826" t="s">
        <v>239</v>
      </c>
      <c r="AM826" t="s">
        <v>240</v>
      </c>
      <c r="AN826" t="s">
        <v>241</v>
      </c>
      <c r="AO826" t="s">
        <v>242</v>
      </c>
      <c r="AP826" t="s">
        <v>341</v>
      </c>
      <c r="AQ826" t="s">
        <v>74</v>
      </c>
      <c r="AR826" t="s">
        <v>243</v>
      </c>
      <c r="AS826" t="s">
        <v>244</v>
      </c>
      <c r="AT826" t="s">
        <v>11810</v>
      </c>
      <c r="AU826">
        <v>2004</v>
      </c>
      <c r="AV826">
        <v>31</v>
      </c>
      <c r="AW826">
        <v>9</v>
      </c>
      <c r="AX826" t="s">
        <v>74</v>
      </c>
      <c r="AY826" t="s">
        <v>74</v>
      </c>
      <c r="AZ826" t="s">
        <v>74</v>
      </c>
      <c r="BA826" t="s">
        <v>74</v>
      </c>
      <c r="BB826" t="s">
        <v>74</v>
      </c>
      <c r="BC826" t="s">
        <v>74</v>
      </c>
      <c r="BD826" t="s">
        <v>11811</v>
      </c>
      <c r="BE826" t="s">
        <v>11812</v>
      </c>
      <c r="BF826" t="str">
        <f>HYPERLINK("http://dx.doi.org/10.1029/2004GL019806","http://dx.doi.org/10.1029/2004GL019806")</f>
        <v>http://dx.doi.org/10.1029/2004GL019806</v>
      </c>
      <c r="BG826" t="s">
        <v>74</v>
      </c>
      <c r="BH826" t="s">
        <v>74</v>
      </c>
      <c r="BI826">
        <v>5</v>
      </c>
      <c r="BJ826" t="s">
        <v>248</v>
      </c>
      <c r="BK826" t="s">
        <v>139</v>
      </c>
      <c r="BL826" t="s">
        <v>249</v>
      </c>
      <c r="BM826" t="s">
        <v>11813</v>
      </c>
      <c r="BN826" t="s">
        <v>74</v>
      </c>
      <c r="BO826" t="s">
        <v>74</v>
      </c>
      <c r="BP826" t="s">
        <v>74</v>
      </c>
      <c r="BQ826" t="s">
        <v>74</v>
      </c>
      <c r="BR826" t="s">
        <v>98</v>
      </c>
      <c r="BS826" t="s">
        <v>11814</v>
      </c>
      <c r="BT826" t="str">
        <f>HYPERLINK("https%3A%2F%2Fwww.webofscience.com%2Fwos%2Fwoscc%2Ffull-record%2FWOS:000221473300004","View Full Record in Web of Science")</f>
        <v>View Full Record in Web of Science</v>
      </c>
    </row>
    <row r="827" spans="1:72" x14ac:dyDescent="0.15">
      <c r="A827" t="s">
        <v>122</v>
      </c>
      <c r="B827" t="s">
        <v>11815</v>
      </c>
      <c r="C827" t="s">
        <v>74</v>
      </c>
      <c r="D827" t="s">
        <v>74</v>
      </c>
      <c r="E827" t="s">
        <v>74</v>
      </c>
      <c r="F827" t="s">
        <v>11815</v>
      </c>
      <c r="G827" t="s">
        <v>74</v>
      </c>
      <c r="H827" t="s">
        <v>74</v>
      </c>
      <c r="I827" t="s">
        <v>11816</v>
      </c>
      <c r="J827" t="s">
        <v>277</v>
      </c>
      <c r="K827" t="s">
        <v>74</v>
      </c>
      <c r="L827" t="s">
        <v>74</v>
      </c>
      <c r="M827" t="s">
        <v>79</v>
      </c>
      <c r="N827" t="s">
        <v>126</v>
      </c>
      <c r="O827" t="s">
        <v>74</v>
      </c>
      <c r="P827" t="s">
        <v>74</v>
      </c>
      <c r="Q827" t="s">
        <v>74</v>
      </c>
      <c r="R827" t="s">
        <v>74</v>
      </c>
      <c r="S827" t="s">
        <v>74</v>
      </c>
      <c r="T827" t="s">
        <v>11817</v>
      </c>
      <c r="U827" t="s">
        <v>11818</v>
      </c>
      <c r="V827" t="s">
        <v>11819</v>
      </c>
      <c r="W827" t="s">
        <v>6209</v>
      </c>
      <c r="X827" t="s">
        <v>2862</v>
      </c>
      <c r="Y827" t="s">
        <v>11820</v>
      </c>
      <c r="Z827" t="s">
        <v>6211</v>
      </c>
      <c r="AA827" t="s">
        <v>6212</v>
      </c>
      <c r="AB827" t="s">
        <v>11821</v>
      </c>
      <c r="AC827" t="s">
        <v>74</v>
      </c>
      <c r="AD827" t="s">
        <v>74</v>
      </c>
      <c r="AE827" t="s">
        <v>74</v>
      </c>
      <c r="AF827" t="s">
        <v>74</v>
      </c>
      <c r="AG827">
        <v>42</v>
      </c>
      <c r="AH827">
        <v>84</v>
      </c>
      <c r="AI827">
        <v>88</v>
      </c>
      <c r="AJ827">
        <v>4</v>
      </c>
      <c r="AK827">
        <v>26</v>
      </c>
      <c r="AL827" t="s">
        <v>239</v>
      </c>
      <c r="AM827" t="s">
        <v>240</v>
      </c>
      <c r="AN827" t="s">
        <v>241</v>
      </c>
      <c r="AO827" t="s">
        <v>284</v>
      </c>
      <c r="AP827" t="s">
        <v>285</v>
      </c>
      <c r="AQ827" t="s">
        <v>74</v>
      </c>
      <c r="AR827" t="s">
        <v>286</v>
      </c>
      <c r="AS827" t="s">
        <v>287</v>
      </c>
      <c r="AT827" t="s">
        <v>11822</v>
      </c>
      <c r="AU827">
        <v>2004</v>
      </c>
      <c r="AV827">
        <v>109</v>
      </c>
      <c r="AW827" t="s">
        <v>11823</v>
      </c>
      <c r="AX827" t="s">
        <v>74</v>
      </c>
      <c r="AY827" t="s">
        <v>74</v>
      </c>
      <c r="AZ827" t="s">
        <v>74</v>
      </c>
      <c r="BA827" t="s">
        <v>74</v>
      </c>
      <c r="BB827" t="s">
        <v>74</v>
      </c>
      <c r="BC827" t="s">
        <v>74</v>
      </c>
      <c r="BD827" t="s">
        <v>11824</v>
      </c>
      <c r="BE827" t="s">
        <v>11825</v>
      </c>
      <c r="BF827" t="str">
        <f>HYPERLINK("http://dx.doi.org/10.1029/2003JD004394","http://dx.doi.org/10.1029/2003JD004394")</f>
        <v>http://dx.doi.org/10.1029/2003JD004394</v>
      </c>
      <c r="BG827" t="s">
        <v>74</v>
      </c>
      <c r="BH827" t="s">
        <v>74</v>
      </c>
      <c r="BI827">
        <v>17</v>
      </c>
      <c r="BJ827" t="s">
        <v>291</v>
      </c>
      <c r="BK827" t="s">
        <v>139</v>
      </c>
      <c r="BL827" t="s">
        <v>291</v>
      </c>
      <c r="BM827" t="s">
        <v>11826</v>
      </c>
      <c r="BN827" t="s">
        <v>74</v>
      </c>
      <c r="BO827" t="s">
        <v>273</v>
      </c>
      <c r="BP827" t="s">
        <v>74</v>
      </c>
      <c r="BQ827" t="s">
        <v>74</v>
      </c>
      <c r="BR827" t="s">
        <v>98</v>
      </c>
      <c r="BS827" t="s">
        <v>11827</v>
      </c>
      <c r="BT827" t="str">
        <f>HYPERLINK("https%3A%2F%2Fwww.webofscience.com%2Fwos%2Fwoscc%2Ffull-record%2FWOS:000221473800004","View Full Record in Web of Science")</f>
        <v>View Full Record in Web of Science</v>
      </c>
    </row>
    <row r="828" spans="1:72" x14ac:dyDescent="0.15">
      <c r="A828" t="s">
        <v>122</v>
      </c>
      <c r="B828" t="s">
        <v>11828</v>
      </c>
      <c r="C828" t="s">
        <v>74</v>
      </c>
      <c r="D828" t="s">
        <v>74</v>
      </c>
      <c r="E828" t="s">
        <v>74</v>
      </c>
      <c r="F828" t="s">
        <v>11828</v>
      </c>
      <c r="G828" t="s">
        <v>74</v>
      </c>
      <c r="H828" t="s">
        <v>74</v>
      </c>
      <c r="I828" t="s">
        <v>11829</v>
      </c>
      <c r="J828" t="s">
        <v>230</v>
      </c>
      <c r="K828" t="s">
        <v>74</v>
      </c>
      <c r="L828" t="s">
        <v>74</v>
      </c>
      <c r="M828" t="s">
        <v>79</v>
      </c>
      <c r="N828" t="s">
        <v>126</v>
      </c>
      <c r="O828" t="s">
        <v>74</v>
      </c>
      <c r="P828" t="s">
        <v>74</v>
      </c>
      <c r="Q828" t="s">
        <v>74</v>
      </c>
      <c r="R828" t="s">
        <v>74</v>
      </c>
      <c r="S828" t="s">
        <v>74</v>
      </c>
      <c r="T828" t="s">
        <v>74</v>
      </c>
      <c r="U828" t="s">
        <v>11830</v>
      </c>
      <c r="V828" t="s">
        <v>11831</v>
      </c>
      <c r="W828" t="s">
        <v>2323</v>
      </c>
      <c r="X828" t="s">
        <v>748</v>
      </c>
      <c r="Y828" t="s">
        <v>502</v>
      </c>
      <c r="Z828" t="s">
        <v>650</v>
      </c>
      <c r="AA828" t="s">
        <v>74</v>
      </c>
      <c r="AB828" t="s">
        <v>74</v>
      </c>
      <c r="AC828" t="s">
        <v>74</v>
      </c>
      <c r="AD828" t="s">
        <v>74</v>
      </c>
      <c r="AE828" t="s">
        <v>74</v>
      </c>
      <c r="AF828" t="s">
        <v>74</v>
      </c>
      <c r="AG828">
        <v>17</v>
      </c>
      <c r="AH828">
        <v>39</v>
      </c>
      <c r="AI828">
        <v>42</v>
      </c>
      <c r="AJ828">
        <v>0</v>
      </c>
      <c r="AK828">
        <v>2</v>
      </c>
      <c r="AL828" t="s">
        <v>239</v>
      </c>
      <c r="AM828" t="s">
        <v>240</v>
      </c>
      <c r="AN828" t="s">
        <v>241</v>
      </c>
      <c r="AO828" t="s">
        <v>242</v>
      </c>
      <c r="AP828" t="s">
        <v>341</v>
      </c>
      <c r="AQ828" t="s">
        <v>74</v>
      </c>
      <c r="AR828" t="s">
        <v>243</v>
      </c>
      <c r="AS828" t="s">
        <v>244</v>
      </c>
      <c r="AT828" t="s">
        <v>11832</v>
      </c>
      <c r="AU828">
        <v>2004</v>
      </c>
      <c r="AV828">
        <v>31</v>
      </c>
      <c r="AW828">
        <v>9</v>
      </c>
      <c r="AX828" t="s">
        <v>74</v>
      </c>
      <c r="AY828" t="s">
        <v>74</v>
      </c>
      <c r="AZ828" t="s">
        <v>74</v>
      </c>
      <c r="BA828" t="s">
        <v>74</v>
      </c>
      <c r="BB828" t="s">
        <v>74</v>
      </c>
      <c r="BC828" t="s">
        <v>74</v>
      </c>
      <c r="BD828" t="s">
        <v>11833</v>
      </c>
      <c r="BE828" t="s">
        <v>11834</v>
      </c>
      <c r="BF828" t="str">
        <f>HYPERLINK("http://dx.doi.org/10.1029/2004GL019924","http://dx.doi.org/10.1029/2004GL019924")</f>
        <v>http://dx.doi.org/10.1029/2004GL019924</v>
      </c>
      <c r="BG828" t="s">
        <v>74</v>
      </c>
      <c r="BH828" t="s">
        <v>74</v>
      </c>
      <c r="BI828">
        <v>4</v>
      </c>
      <c r="BJ828" t="s">
        <v>248</v>
      </c>
      <c r="BK828" t="s">
        <v>139</v>
      </c>
      <c r="BL828" t="s">
        <v>249</v>
      </c>
      <c r="BM828" t="s">
        <v>11835</v>
      </c>
      <c r="BN828" t="s">
        <v>74</v>
      </c>
      <c r="BO828" t="s">
        <v>273</v>
      </c>
      <c r="BP828" t="s">
        <v>74</v>
      </c>
      <c r="BQ828" t="s">
        <v>74</v>
      </c>
      <c r="BR828" t="s">
        <v>98</v>
      </c>
      <c r="BS828" t="s">
        <v>11836</v>
      </c>
      <c r="BT828" t="str">
        <f>HYPERLINK("https%3A%2F%2Fwww.webofscience.com%2Fwos%2Fwoscc%2Ffull-record%2FWOS:000221333600006","View Full Record in Web of Science")</f>
        <v>View Full Record in Web of Science</v>
      </c>
    </row>
    <row r="829" spans="1:72" x14ac:dyDescent="0.15">
      <c r="A829" t="s">
        <v>122</v>
      </c>
      <c r="B829" t="s">
        <v>11837</v>
      </c>
      <c r="C829" t="s">
        <v>74</v>
      </c>
      <c r="D829" t="s">
        <v>74</v>
      </c>
      <c r="E829" t="s">
        <v>74</v>
      </c>
      <c r="F829" t="s">
        <v>11837</v>
      </c>
      <c r="G829" t="s">
        <v>74</v>
      </c>
      <c r="H829" t="s">
        <v>74</v>
      </c>
      <c r="I829" t="s">
        <v>11838</v>
      </c>
      <c r="J829" t="s">
        <v>11839</v>
      </c>
      <c r="K829" t="s">
        <v>74</v>
      </c>
      <c r="L829" t="s">
        <v>74</v>
      </c>
      <c r="M829" t="s">
        <v>79</v>
      </c>
      <c r="N829" t="s">
        <v>126</v>
      </c>
      <c r="O829" t="s">
        <v>74</v>
      </c>
      <c r="P829" t="s">
        <v>74</v>
      </c>
      <c r="Q829" t="s">
        <v>74</v>
      </c>
      <c r="R829" t="s">
        <v>74</v>
      </c>
      <c r="S829" t="s">
        <v>74</v>
      </c>
      <c r="T829" t="s">
        <v>11840</v>
      </c>
      <c r="U829" t="s">
        <v>11841</v>
      </c>
      <c r="V829" t="s">
        <v>11842</v>
      </c>
      <c r="W829" t="s">
        <v>11843</v>
      </c>
      <c r="X829" t="s">
        <v>11844</v>
      </c>
      <c r="Y829" t="s">
        <v>11845</v>
      </c>
      <c r="Z829" t="s">
        <v>11846</v>
      </c>
      <c r="AA829" t="s">
        <v>11847</v>
      </c>
      <c r="AB829" t="s">
        <v>11848</v>
      </c>
      <c r="AC829" t="s">
        <v>74</v>
      </c>
      <c r="AD829" t="s">
        <v>74</v>
      </c>
      <c r="AE829" t="s">
        <v>74</v>
      </c>
      <c r="AF829" t="s">
        <v>74</v>
      </c>
      <c r="AG829">
        <v>41</v>
      </c>
      <c r="AH829">
        <v>2</v>
      </c>
      <c r="AI829">
        <v>2</v>
      </c>
      <c r="AJ829">
        <v>0</v>
      </c>
      <c r="AK829">
        <v>3</v>
      </c>
      <c r="AL829" t="s">
        <v>562</v>
      </c>
      <c r="AM829" t="s">
        <v>532</v>
      </c>
      <c r="AN829" t="s">
        <v>563</v>
      </c>
      <c r="AO829" t="s">
        <v>11849</v>
      </c>
      <c r="AP829" t="s">
        <v>11850</v>
      </c>
      <c r="AQ829" t="s">
        <v>74</v>
      </c>
      <c r="AR829" t="s">
        <v>11851</v>
      </c>
      <c r="AS829" t="s">
        <v>11852</v>
      </c>
      <c r="AT829" t="s">
        <v>11853</v>
      </c>
      <c r="AU829">
        <v>2004</v>
      </c>
      <c r="AV829">
        <v>323</v>
      </c>
      <c r="AW829" t="s">
        <v>11682</v>
      </c>
      <c r="AX829" t="s">
        <v>74</v>
      </c>
      <c r="AY829" t="s">
        <v>74</v>
      </c>
      <c r="AZ829" t="s">
        <v>74</v>
      </c>
      <c r="BA829" t="s">
        <v>74</v>
      </c>
      <c r="BB829">
        <v>123</v>
      </c>
      <c r="BC829">
        <v>135</v>
      </c>
      <c r="BD829" t="s">
        <v>74</v>
      </c>
      <c r="BE829" t="s">
        <v>11854</v>
      </c>
      <c r="BF829" t="str">
        <f>HYPERLINK("http://dx.doi.org/10.1016/j.scitotenv.2003.10.005","http://dx.doi.org/10.1016/j.scitotenv.2003.10.005")</f>
        <v>http://dx.doi.org/10.1016/j.scitotenv.2003.10.005</v>
      </c>
      <c r="BG829" t="s">
        <v>74</v>
      </c>
      <c r="BH829" t="s">
        <v>74</v>
      </c>
      <c r="BI829">
        <v>13</v>
      </c>
      <c r="BJ829" t="s">
        <v>2988</v>
      </c>
      <c r="BK829" t="s">
        <v>139</v>
      </c>
      <c r="BL829" t="s">
        <v>1305</v>
      </c>
      <c r="BM829" t="s">
        <v>11855</v>
      </c>
      <c r="BN829">
        <v>15081722</v>
      </c>
      <c r="BO829" t="s">
        <v>74</v>
      </c>
      <c r="BP829" t="s">
        <v>74</v>
      </c>
      <c r="BQ829" t="s">
        <v>74</v>
      </c>
      <c r="BR829" t="s">
        <v>98</v>
      </c>
      <c r="BS829" t="s">
        <v>11856</v>
      </c>
      <c r="BT829" t="str">
        <f>HYPERLINK("https%3A%2F%2Fwww.webofscience.com%2Fwos%2Fwoscc%2Ffull-record%2FWOS:000221207700010","View Full Record in Web of Science")</f>
        <v>View Full Record in Web of Science</v>
      </c>
    </row>
    <row r="830" spans="1:72" x14ac:dyDescent="0.15">
      <c r="A830" t="s">
        <v>122</v>
      </c>
      <c r="B830" t="s">
        <v>11857</v>
      </c>
      <c r="C830" t="s">
        <v>74</v>
      </c>
      <c r="D830" t="s">
        <v>74</v>
      </c>
      <c r="E830" t="s">
        <v>74</v>
      </c>
      <c r="F830" t="s">
        <v>11857</v>
      </c>
      <c r="G830" t="s">
        <v>74</v>
      </c>
      <c r="H830" t="s">
        <v>74</v>
      </c>
      <c r="I830" t="s">
        <v>11858</v>
      </c>
      <c r="J830" t="s">
        <v>230</v>
      </c>
      <c r="K830" t="s">
        <v>74</v>
      </c>
      <c r="L830" t="s">
        <v>74</v>
      </c>
      <c r="M830" t="s">
        <v>79</v>
      </c>
      <c r="N830" t="s">
        <v>126</v>
      </c>
      <c r="O830" t="s">
        <v>74</v>
      </c>
      <c r="P830" t="s">
        <v>74</v>
      </c>
      <c r="Q830" t="s">
        <v>74</v>
      </c>
      <c r="R830" t="s">
        <v>74</v>
      </c>
      <c r="S830" t="s">
        <v>74</v>
      </c>
      <c r="T830" t="s">
        <v>74</v>
      </c>
      <c r="U830" t="s">
        <v>11859</v>
      </c>
      <c r="V830" t="s">
        <v>11860</v>
      </c>
      <c r="W830" t="s">
        <v>11861</v>
      </c>
      <c r="X830" t="s">
        <v>11862</v>
      </c>
      <c r="Y830" t="s">
        <v>11863</v>
      </c>
      <c r="Z830" t="s">
        <v>11864</v>
      </c>
      <c r="AA830" t="s">
        <v>11865</v>
      </c>
      <c r="AB830" t="s">
        <v>11866</v>
      </c>
      <c r="AC830" t="s">
        <v>74</v>
      </c>
      <c r="AD830" t="s">
        <v>74</v>
      </c>
      <c r="AE830" t="s">
        <v>74</v>
      </c>
      <c r="AF830" t="s">
        <v>74</v>
      </c>
      <c r="AG830">
        <v>14</v>
      </c>
      <c r="AH830">
        <v>4</v>
      </c>
      <c r="AI830">
        <v>4</v>
      </c>
      <c r="AJ830">
        <v>0</v>
      </c>
      <c r="AK830">
        <v>1</v>
      </c>
      <c r="AL830" t="s">
        <v>239</v>
      </c>
      <c r="AM830" t="s">
        <v>240</v>
      </c>
      <c r="AN830" t="s">
        <v>241</v>
      </c>
      <c r="AO830" t="s">
        <v>242</v>
      </c>
      <c r="AP830" t="s">
        <v>341</v>
      </c>
      <c r="AQ830" t="s">
        <v>74</v>
      </c>
      <c r="AR830" t="s">
        <v>243</v>
      </c>
      <c r="AS830" t="s">
        <v>244</v>
      </c>
      <c r="AT830" t="s">
        <v>11867</v>
      </c>
      <c r="AU830">
        <v>2004</v>
      </c>
      <c r="AV830">
        <v>31</v>
      </c>
      <c r="AW830">
        <v>9</v>
      </c>
      <c r="AX830" t="s">
        <v>74</v>
      </c>
      <c r="AY830" t="s">
        <v>74</v>
      </c>
      <c r="AZ830" t="s">
        <v>74</v>
      </c>
      <c r="BA830" t="s">
        <v>74</v>
      </c>
      <c r="BB830" t="s">
        <v>74</v>
      </c>
      <c r="BC830" t="s">
        <v>74</v>
      </c>
      <c r="BD830" t="s">
        <v>11868</v>
      </c>
      <c r="BE830" t="s">
        <v>11869</v>
      </c>
      <c r="BF830" t="str">
        <f>HYPERLINK("http://dx.doi.org/10.1029/2004GL019633","http://dx.doi.org/10.1029/2004GL019633")</f>
        <v>http://dx.doi.org/10.1029/2004GL019633</v>
      </c>
      <c r="BG830" t="s">
        <v>74</v>
      </c>
      <c r="BH830" t="s">
        <v>74</v>
      </c>
      <c r="BI830">
        <v>4</v>
      </c>
      <c r="BJ830" t="s">
        <v>248</v>
      </c>
      <c r="BK830" t="s">
        <v>139</v>
      </c>
      <c r="BL830" t="s">
        <v>249</v>
      </c>
      <c r="BM830" t="s">
        <v>11870</v>
      </c>
      <c r="BN830" t="s">
        <v>74</v>
      </c>
      <c r="BO830" t="s">
        <v>74</v>
      </c>
      <c r="BP830" t="s">
        <v>74</v>
      </c>
      <c r="BQ830" t="s">
        <v>74</v>
      </c>
      <c r="BR830" t="s">
        <v>98</v>
      </c>
      <c r="BS830" t="s">
        <v>11871</v>
      </c>
      <c r="BT830" t="str">
        <f>HYPERLINK("https%3A%2F%2Fwww.webofscience.com%2Fwos%2Fwoscc%2Ffull-record%2FWOS:000221333200005","View Full Record in Web of Science")</f>
        <v>View Full Record in Web of Science</v>
      </c>
    </row>
    <row r="831" spans="1:72" x14ac:dyDescent="0.15">
      <c r="A831" t="s">
        <v>122</v>
      </c>
      <c r="B831" t="s">
        <v>11872</v>
      </c>
      <c r="C831" t="s">
        <v>74</v>
      </c>
      <c r="D831" t="s">
        <v>74</v>
      </c>
      <c r="E831" t="s">
        <v>74</v>
      </c>
      <c r="F831" t="s">
        <v>11872</v>
      </c>
      <c r="G831" t="s">
        <v>74</v>
      </c>
      <c r="H831" t="s">
        <v>74</v>
      </c>
      <c r="I831" t="s">
        <v>11873</v>
      </c>
      <c r="J831" t="s">
        <v>875</v>
      </c>
      <c r="K831" t="s">
        <v>74</v>
      </c>
      <c r="L831" t="s">
        <v>74</v>
      </c>
      <c r="M831" t="s">
        <v>79</v>
      </c>
      <c r="N831" t="s">
        <v>126</v>
      </c>
      <c r="O831" t="s">
        <v>74</v>
      </c>
      <c r="P831" t="s">
        <v>74</v>
      </c>
      <c r="Q831" t="s">
        <v>74</v>
      </c>
      <c r="R831" t="s">
        <v>74</v>
      </c>
      <c r="S831" t="s">
        <v>74</v>
      </c>
      <c r="T831" t="s">
        <v>74</v>
      </c>
      <c r="U831" t="s">
        <v>11874</v>
      </c>
      <c r="V831" t="s">
        <v>11875</v>
      </c>
      <c r="W831" t="s">
        <v>11876</v>
      </c>
      <c r="X831" t="s">
        <v>11877</v>
      </c>
      <c r="Y831" t="s">
        <v>11878</v>
      </c>
      <c r="Z831" t="s">
        <v>11879</v>
      </c>
      <c r="AA831" t="s">
        <v>3907</v>
      </c>
      <c r="AB831" t="s">
        <v>3908</v>
      </c>
      <c r="AC831" t="s">
        <v>74</v>
      </c>
      <c r="AD831" t="s">
        <v>74</v>
      </c>
      <c r="AE831" t="s">
        <v>74</v>
      </c>
      <c r="AF831" t="s">
        <v>74</v>
      </c>
      <c r="AG831">
        <v>36</v>
      </c>
      <c r="AH831">
        <v>71</v>
      </c>
      <c r="AI831">
        <v>73</v>
      </c>
      <c r="AJ831">
        <v>1</v>
      </c>
      <c r="AK831">
        <v>18</v>
      </c>
      <c r="AL831" t="s">
        <v>884</v>
      </c>
      <c r="AM831" t="s">
        <v>375</v>
      </c>
      <c r="AN831" t="s">
        <v>885</v>
      </c>
      <c r="AO831" t="s">
        <v>886</v>
      </c>
      <c r="AP831" t="s">
        <v>887</v>
      </c>
      <c r="AQ831" t="s">
        <v>74</v>
      </c>
      <c r="AR831" t="s">
        <v>888</v>
      </c>
      <c r="AS831" t="s">
        <v>889</v>
      </c>
      <c r="AT831" t="s">
        <v>11880</v>
      </c>
      <c r="AU831">
        <v>2004</v>
      </c>
      <c r="AV831">
        <v>67</v>
      </c>
      <c r="AW831" t="s">
        <v>74</v>
      </c>
      <c r="AX831">
        <v>5</v>
      </c>
      <c r="AY831" t="s">
        <v>74</v>
      </c>
      <c r="AZ831" t="s">
        <v>74</v>
      </c>
      <c r="BA831" t="s">
        <v>74</v>
      </c>
      <c r="BB831">
        <v>893</v>
      </c>
      <c r="BC831">
        <v>898</v>
      </c>
      <c r="BD831" t="s">
        <v>74</v>
      </c>
      <c r="BE831" t="s">
        <v>11881</v>
      </c>
      <c r="BF831" t="str">
        <f>HYPERLINK("http://dx.doi.org/10.1016/j.anbehav.2003.08.013","http://dx.doi.org/10.1016/j.anbehav.2003.08.013")</f>
        <v>http://dx.doi.org/10.1016/j.anbehav.2003.08.013</v>
      </c>
      <c r="BG831" t="s">
        <v>74</v>
      </c>
      <c r="BH831" t="s">
        <v>74</v>
      </c>
      <c r="BI831">
        <v>6</v>
      </c>
      <c r="BJ831" t="s">
        <v>892</v>
      </c>
      <c r="BK831" t="s">
        <v>139</v>
      </c>
      <c r="BL831" t="s">
        <v>892</v>
      </c>
      <c r="BM831" t="s">
        <v>11882</v>
      </c>
      <c r="BN831" t="s">
        <v>74</v>
      </c>
      <c r="BO831" t="s">
        <v>74</v>
      </c>
      <c r="BP831" t="s">
        <v>74</v>
      </c>
      <c r="BQ831" t="s">
        <v>74</v>
      </c>
      <c r="BR831" t="s">
        <v>98</v>
      </c>
      <c r="BS831" t="s">
        <v>11883</v>
      </c>
      <c r="BT831" t="str">
        <f>HYPERLINK("https%3A%2F%2Fwww.webofscience.com%2Fwos%2Fwoscc%2Ffull-record%2FWOS:000221541600009","View Full Record in Web of Science")</f>
        <v>View Full Record in Web of Science</v>
      </c>
    </row>
    <row r="832" spans="1:72" x14ac:dyDescent="0.15">
      <c r="A832" t="s">
        <v>122</v>
      </c>
      <c r="B832" t="s">
        <v>11884</v>
      </c>
      <c r="C832" t="s">
        <v>74</v>
      </c>
      <c r="D832" t="s">
        <v>74</v>
      </c>
      <c r="E832" t="s">
        <v>74</v>
      </c>
      <c r="F832" t="s">
        <v>11884</v>
      </c>
      <c r="G832" t="s">
        <v>74</v>
      </c>
      <c r="H832" t="s">
        <v>74</v>
      </c>
      <c r="I832" t="s">
        <v>11885</v>
      </c>
      <c r="J832" t="s">
        <v>2591</v>
      </c>
      <c r="K832" t="s">
        <v>74</v>
      </c>
      <c r="L832" t="s">
        <v>74</v>
      </c>
      <c r="M832" t="s">
        <v>79</v>
      </c>
      <c r="N832" t="s">
        <v>126</v>
      </c>
      <c r="O832" t="s">
        <v>74</v>
      </c>
      <c r="P832" t="s">
        <v>74</v>
      </c>
      <c r="Q832" t="s">
        <v>74</v>
      </c>
      <c r="R832" t="s">
        <v>74</v>
      </c>
      <c r="S832" t="s">
        <v>74</v>
      </c>
      <c r="T832" t="s">
        <v>74</v>
      </c>
      <c r="U832" t="s">
        <v>11886</v>
      </c>
      <c r="V832" t="s">
        <v>11887</v>
      </c>
      <c r="W832" t="s">
        <v>11888</v>
      </c>
      <c r="X832" t="s">
        <v>11889</v>
      </c>
      <c r="Y832" t="s">
        <v>9001</v>
      </c>
      <c r="Z832" t="s">
        <v>11890</v>
      </c>
      <c r="AA832" t="s">
        <v>11891</v>
      </c>
      <c r="AB832" t="s">
        <v>11892</v>
      </c>
      <c r="AC832" t="s">
        <v>74</v>
      </c>
      <c r="AD832" t="s">
        <v>74</v>
      </c>
      <c r="AE832" t="s">
        <v>74</v>
      </c>
      <c r="AF832" t="s">
        <v>74</v>
      </c>
      <c r="AG832">
        <v>49</v>
      </c>
      <c r="AH832">
        <v>16</v>
      </c>
      <c r="AI832">
        <v>20</v>
      </c>
      <c r="AJ832">
        <v>0</v>
      </c>
      <c r="AK832">
        <v>11</v>
      </c>
      <c r="AL832" t="s">
        <v>1644</v>
      </c>
      <c r="AM832" t="s">
        <v>1645</v>
      </c>
      <c r="AN832" t="s">
        <v>1646</v>
      </c>
      <c r="AO832" t="s">
        <v>2603</v>
      </c>
      <c r="AP832" t="s">
        <v>2619</v>
      </c>
      <c r="AQ832" t="s">
        <v>74</v>
      </c>
      <c r="AR832" t="s">
        <v>2604</v>
      </c>
      <c r="AS832" t="s">
        <v>2605</v>
      </c>
      <c r="AT832" t="s">
        <v>11880</v>
      </c>
      <c r="AU832">
        <v>2004</v>
      </c>
      <c r="AV832">
        <v>36</v>
      </c>
      <c r="AW832">
        <v>2</v>
      </c>
      <c r="AX832" t="s">
        <v>74</v>
      </c>
      <c r="AY832" t="s">
        <v>74</v>
      </c>
      <c r="AZ832" t="s">
        <v>74</v>
      </c>
      <c r="BA832" t="s">
        <v>74</v>
      </c>
      <c r="BB832">
        <v>139</v>
      </c>
      <c r="BC832">
        <v>146</v>
      </c>
      <c r="BD832" t="s">
        <v>74</v>
      </c>
      <c r="BE832" t="s">
        <v>11893</v>
      </c>
      <c r="BF832" t="str">
        <f>HYPERLINK("http://dx.doi.org/10.1657/1523-0430(2004)036[0139:LGAHGA]2.0.CO;2","http://dx.doi.org/10.1657/1523-0430(2004)036[0139:LGAHGA]2.0.CO;2")</f>
        <v>http://dx.doi.org/10.1657/1523-0430(2004)036[0139:LGAHGA]2.0.CO;2</v>
      </c>
      <c r="BG832" t="s">
        <v>74</v>
      </c>
      <c r="BH832" t="s">
        <v>74</v>
      </c>
      <c r="BI832">
        <v>8</v>
      </c>
      <c r="BJ832" t="s">
        <v>2607</v>
      </c>
      <c r="BK832" t="s">
        <v>139</v>
      </c>
      <c r="BL832" t="s">
        <v>1557</v>
      </c>
      <c r="BM832" t="s">
        <v>11894</v>
      </c>
      <c r="BN832" t="s">
        <v>74</v>
      </c>
      <c r="BO832" t="s">
        <v>988</v>
      </c>
      <c r="BP832" t="s">
        <v>74</v>
      </c>
      <c r="BQ832" t="s">
        <v>74</v>
      </c>
      <c r="BR832" t="s">
        <v>98</v>
      </c>
      <c r="BS832" t="s">
        <v>11895</v>
      </c>
      <c r="BT832" t="str">
        <f>HYPERLINK("https%3A%2F%2Fwww.webofscience.com%2Fwos%2Fwoscc%2Ffull-record%2FWOS:000225548300001","View Full Record in Web of Science")</f>
        <v>View Full Record in Web of Science</v>
      </c>
    </row>
    <row r="833" spans="1:72" x14ac:dyDescent="0.15">
      <c r="A833" t="s">
        <v>122</v>
      </c>
      <c r="B833" t="s">
        <v>11896</v>
      </c>
      <c r="C833" t="s">
        <v>74</v>
      </c>
      <c r="D833" t="s">
        <v>74</v>
      </c>
      <c r="E833" t="s">
        <v>74</v>
      </c>
      <c r="F833" t="s">
        <v>11896</v>
      </c>
      <c r="G833" t="s">
        <v>74</v>
      </c>
      <c r="H833" t="s">
        <v>74</v>
      </c>
      <c r="I833" t="s">
        <v>11897</v>
      </c>
      <c r="J833" t="s">
        <v>2591</v>
      </c>
      <c r="K833" t="s">
        <v>74</v>
      </c>
      <c r="L833" t="s">
        <v>74</v>
      </c>
      <c r="M833" t="s">
        <v>79</v>
      </c>
      <c r="N833" t="s">
        <v>126</v>
      </c>
      <c r="O833" t="s">
        <v>74</v>
      </c>
      <c r="P833" t="s">
        <v>74</v>
      </c>
      <c r="Q833" t="s">
        <v>74</v>
      </c>
      <c r="R833" t="s">
        <v>74</v>
      </c>
      <c r="S833" t="s">
        <v>74</v>
      </c>
      <c r="T833" t="s">
        <v>74</v>
      </c>
      <c r="U833" t="s">
        <v>11898</v>
      </c>
      <c r="V833" t="s">
        <v>11899</v>
      </c>
      <c r="W833" t="s">
        <v>11900</v>
      </c>
      <c r="X833" t="s">
        <v>11901</v>
      </c>
      <c r="Y833" t="s">
        <v>8120</v>
      </c>
      <c r="Z833" t="s">
        <v>8121</v>
      </c>
      <c r="AA833" t="s">
        <v>11902</v>
      </c>
      <c r="AB833" t="s">
        <v>11903</v>
      </c>
      <c r="AC833" t="s">
        <v>74</v>
      </c>
      <c r="AD833" t="s">
        <v>74</v>
      </c>
      <c r="AE833" t="s">
        <v>74</v>
      </c>
      <c r="AF833" t="s">
        <v>74</v>
      </c>
      <c r="AG833">
        <v>37</v>
      </c>
      <c r="AH833">
        <v>15</v>
      </c>
      <c r="AI833">
        <v>15</v>
      </c>
      <c r="AJ833">
        <v>1</v>
      </c>
      <c r="AK833">
        <v>8</v>
      </c>
      <c r="AL833" t="s">
        <v>2600</v>
      </c>
      <c r="AM833" t="s">
        <v>2601</v>
      </c>
      <c r="AN833" t="s">
        <v>2602</v>
      </c>
      <c r="AO833" t="s">
        <v>2603</v>
      </c>
      <c r="AP833" t="s">
        <v>74</v>
      </c>
      <c r="AQ833" t="s">
        <v>74</v>
      </c>
      <c r="AR833" t="s">
        <v>2604</v>
      </c>
      <c r="AS833" t="s">
        <v>2605</v>
      </c>
      <c r="AT833" t="s">
        <v>11880</v>
      </c>
      <c r="AU833">
        <v>2004</v>
      </c>
      <c r="AV833">
        <v>36</v>
      </c>
      <c r="AW833">
        <v>2</v>
      </c>
      <c r="AX833" t="s">
        <v>74</v>
      </c>
      <c r="AY833" t="s">
        <v>74</v>
      </c>
      <c r="AZ833" t="s">
        <v>74</v>
      </c>
      <c r="BA833" t="s">
        <v>74</v>
      </c>
      <c r="BB833">
        <v>147</v>
      </c>
      <c r="BC833">
        <v>155</v>
      </c>
      <c r="BD833" t="s">
        <v>74</v>
      </c>
      <c r="BE833" t="s">
        <v>11904</v>
      </c>
      <c r="BF833" t="str">
        <f>HYPERLINK("http://dx.doi.org/10.1657/1523-0430(2004)036[0147:PROHEA]2.0.CO;2","http://dx.doi.org/10.1657/1523-0430(2004)036[0147:PROHEA]2.0.CO;2")</f>
        <v>http://dx.doi.org/10.1657/1523-0430(2004)036[0147:PROHEA]2.0.CO;2</v>
      </c>
      <c r="BG833" t="s">
        <v>74</v>
      </c>
      <c r="BH833" t="s">
        <v>74</v>
      </c>
      <c r="BI833">
        <v>9</v>
      </c>
      <c r="BJ833" t="s">
        <v>2607</v>
      </c>
      <c r="BK833" t="s">
        <v>139</v>
      </c>
      <c r="BL833" t="s">
        <v>1557</v>
      </c>
      <c r="BM833" t="s">
        <v>11894</v>
      </c>
      <c r="BN833" t="s">
        <v>74</v>
      </c>
      <c r="BO833" t="s">
        <v>11905</v>
      </c>
      <c r="BP833" t="s">
        <v>74</v>
      </c>
      <c r="BQ833" t="s">
        <v>74</v>
      </c>
      <c r="BR833" t="s">
        <v>98</v>
      </c>
      <c r="BS833" t="s">
        <v>11906</v>
      </c>
      <c r="BT833" t="str">
        <f>HYPERLINK("https%3A%2F%2Fwww.webofscience.com%2Fwos%2Fwoscc%2Ffull-record%2FWOS:000225548300002","View Full Record in Web of Science")</f>
        <v>View Full Record in Web of Science</v>
      </c>
    </row>
    <row r="834" spans="1:72" x14ac:dyDescent="0.15">
      <c r="A834" t="s">
        <v>122</v>
      </c>
      <c r="B834" t="s">
        <v>11907</v>
      </c>
      <c r="C834" t="s">
        <v>74</v>
      </c>
      <c r="D834" t="s">
        <v>74</v>
      </c>
      <c r="E834" t="s">
        <v>74</v>
      </c>
      <c r="F834" t="s">
        <v>11907</v>
      </c>
      <c r="G834" t="s">
        <v>74</v>
      </c>
      <c r="H834" t="s">
        <v>74</v>
      </c>
      <c r="I834" t="s">
        <v>11908</v>
      </c>
      <c r="J834" t="s">
        <v>2591</v>
      </c>
      <c r="K834" t="s">
        <v>74</v>
      </c>
      <c r="L834" t="s">
        <v>74</v>
      </c>
      <c r="M834" t="s">
        <v>79</v>
      </c>
      <c r="N834" t="s">
        <v>126</v>
      </c>
      <c r="O834" t="s">
        <v>74</v>
      </c>
      <c r="P834" t="s">
        <v>74</v>
      </c>
      <c r="Q834" t="s">
        <v>74</v>
      </c>
      <c r="R834" t="s">
        <v>74</v>
      </c>
      <c r="S834" t="s">
        <v>74</v>
      </c>
      <c r="T834" t="s">
        <v>74</v>
      </c>
      <c r="U834" t="s">
        <v>11909</v>
      </c>
      <c r="V834" t="s">
        <v>11910</v>
      </c>
      <c r="W834" t="s">
        <v>11911</v>
      </c>
      <c r="X834" t="s">
        <v>2762</v>
      </c>
      <c r="Y834" t="s">
        <v>11912</v>
      </c>
      <c r="Z834" t="s">
        <v>11913</v>
      </c>
      <c r="AA834" t="s">
        <v>74</v>
      </c>
      <c r="AB834" t="s">
        <v>11914</v>
      </c>
      <c r="AC834" t="s">
        <v>74</v>
      </c>
      <c r="AD834" t="s">
        <v>74</v>
      </c>
      <c r="AE834" t="s">
        <v>74</v>
      </c>
      <c r="AF834" t="s">
        <v>74</v>
      </c>
      <c r="AG834">
        <v>34</v>
      </c>
      <c r="AH834">
        <v>62</v>
      </c>
      <c r="AI834">
        <v>74</v>
      </c>
      <c r="AJ834">
        <v>2</v>
      </c>
      <c r="AK834">
        <v>37</v>
      </c>
      <c r="AL834" t="s">
        <v>2600</v>
      </c>
      <c r="AM834" t="s">
        <v>2601</v>
      </c>
      <c r="AN834" t="s">
        <v>2602</v>
      </c>
      <c r="AO834" t="s">
        <v>2603</v>
      </c>
      <c r="AP834" t="s">
        <v>74</v>
      </c>
      <c r="AQ834" t="s">
        <v>74</v>
      </c>
      <c r="AR834" t="s">
        <v>2604</v>
      </c>
      <c r="AS834" t="s">
        <v>2605</v>
      </c>
      <c r="AT834" t="s">
        <v>11880</v>
      </c>
      <c r="AU834">
        <v>2004</v>
      </c>
      <c r="AV834">
        <v>36</v>
      </c>
      <c r="AW834">
        <v>2</v>
      </c>
      <c r="AX834" t="s">
        <v>74</v>
      </c>
      <c r="AY834" t="s">
        <v>74</v>
      </c>
      <c r="AZ834" t="s">
        <v>74</v>
      </c>
      <c r="BA834" t="s">
        <v>74</v>
      </c>
      <c r="BB834">
        <v>156</v>
      </c>
      <c r="BC834">
        <v>165</v>
      </c>
      <c r="BD834" t="s">
        <v>74</v>
      </c>
      <c r="BE834" t="s">
        <v>11915</v>
      </c>
      <c r="BF834" t="str">
        <f>HYPERLINK("http://dx.doi.org/10.1657/1523-0430(2004)036[0156:TCAFOD]2.0.CO;2","http://dx.doi.org/10.1657/1523-0430(2004)036[0156:TCAFOD]2.0.CO;2")</f>
        <v>http://dx.doi.org/10.1657/1523-0430(2004)036[0156:TCAFOD]2.0.CO;2</v>
      </c>
      <c r="BG834" t="s">
        <v>74</v>
      </c>
      <c r="BH834" t="s">
        <v>74</v>
      </c>
      <c r="BI834">
        <v>10</v>
      </c>
      <c r="BJ834" t="s">
        <v>2607</v>
      </c>
      <c r="BK834" t="s">
        <v>139</v>
      </c>
      <c r="BL834" t="s">
        <v>1557</v>
      </c>
      <c r="BM834" t="s">
        <v>11894</v>
      </c>
      <c r="BN834" t="s">
        <v>74</v>
      </c>
      <c r="BO834" t="s">
        <v>329</v>
      </c>
      <c r="BP834" t="s">
        <v>74</v>
      </c>
      <c r="BQ834" t="s">
        <v>74</v>
      </c>
      <c r="BR834" t="s">
        <v>98</v>
      </c>
      <c r="BS834" t="s">
        <v>11916</v>
      </c>
      <c r="BT834" t="str">
        <f>HYPERLINK("https%3A%2F%2Fwww.webofscience.com%2Fwos%2Fwoscc%2Ffull-record%2FWOS:000225548300003","View Full Record in Web of Science")</f>
        <v>View Full Record in Web of Science</v>
      </c>
    </row>
    <row r="835" spans="1:72" x14ac:dyDescent="0.15">
      <c r="A835" t="s">
        <v>122</v>
      </c>
      <c r="B835" t="s">
        <v>11917</v>
      </c>
      <c r="C835" t="s">
        <v>74</v>
      </c>
      <c r="D835" t="s">
        <v>74</v>
      </c>
      <c r="E835" t="s">
        <v>74</v>
      </c>
      <c r="F835" t="s">
        <v>11917</v>
      </c>
      <c r="G835" t="s">
        <v>74</v>
      </c>
      <c r="H835" t="s">
        <v>74</v>
      </c>
      <c r="I835" t="s">
        <v>11918</v>
      </c>
      <c r="J835" t="s">
        <v>2591</v>
      </c>
      <c r="K835" t="s">
        <v>74</v>
      </c>
      <c r="L835" t="s">
        <v>74</v>
      </c>
      <c r="M835" t="s">
        <v>79</v>
      </c>
      <c r="N835" t="s">
        <v>126</v>
      </c>
      <c r="O835" t="s">
        <v>74</v>
      </c>
      <c r="P835" t="s">
        <v>74</v>
      </c>
      <c r="Q835" t="s">
        <v>74</v>
      </c>
      <c r="R835" t="s">
        <v>74</v>
      </c>
      <c r="S835" t="s">
        <v>74</v>
      </c>
      <c r="T835" t="s">
        <v>74</v>
      </c>
      <c r="U835" t="s">
        <v>11919</v>
      </c>
      <c r="V835" t="s">
        <v>11920</v>
      </c>
      <c r="W835" t="s">
        <v>11921</v>
      </c>
      <c r="X835" t="s">
        <v>11922</v>
      </c>
      <c r="Y835" t="s">
        <v>11923</v>
      </c>
      <c r="Z835" t="s">
        <v>11924</v>
      </c>
      <c r="AA835" t="s">
        <v>11925</v>
      </c>
      <c r="AB835" t="s">
        <v>11926</v>
      </c>
      <c r="AC835" t="s">
        <v>74</v>
      </c>
      <c r="AD835" t="s">
        <v>74</v>
      </c>
      <c r="AE835" t="s">
        <v>74</v>
      </c>
      <c r="AF835" t="s">
        <v>74</v>
      </c>
      <c r="AG835">
        <v>37</v>
      </c>
      <c r="AH835">
        <v>78</v>
      </c>
      <c r="AI835">
        <v>93</v>
      </c>
      <c r="AJ835">
        <v>3</v>
      </c>
      <c r="AK835">
        <v>21</v>
      </c>
      <c r="AL835" t="s">
        <v>1644</v>
      </c>
      <c r="AM835" t="s">
        <v>1645</v>
      </c>
      <c r="AN835" t="s">
        <v>1646</v>
      </c>
      <c r="AO835" t="s">
        <v>2603</v>
      </c>
      <c r="AP835" t="s">
        <v>2619</v>
      </c>
      <c r="AQ835" t="s">
        <v>74</v>
      </c>
      <c r="AR835" t="s">
        <v>2604</v>
      </c>
      <c r="AS835" t="s">
        <v>2605</v>
      </c>
      <c r="AT835" t="s">
        <v>11880</v>
      </c>
      <c r="AU835">
        <v>2004</v>
      </c>
      <c r="AV835">
        <v>36</v>
      </c>
      <c r="AW835">
        <v>2</v>
      </c>
      <c r="AX835" t="s">
        <v>74</v>
      </c>
      <c r="AY835" t="s">
        <v>74</v>
      </c>
      <c r="AZ835" t="s">
        <v>74</v>
      </c>
      <c r="BA835" t="s">
        <v>74</v>
      </c>
      <c r="BB835">
        <v>166</v>
      </c>
      <c r="BC835">
        <v>171</v>
      </c>
      <c r="BD835" t="s">
        <v>74</v>
      </c>
      <c r="BE835" t="s">
        <v>11927</v>
      </c>
      <c r="BF835" t="str">
        <f>HYPERLINK("http://dx.doi.org/10.1657/1523-0430(2004)036[0166:LWMDAS]2.0.CO;2","http://dx.doi.org/10.1657/1523-0430(2004)036[0166:LWMDAS]2.0.CO;2")</f>
        <v>http://dx.doi.org/10.1657/1523-0430(2004)036[0166:LWMDAS]2.0.CO;2</v>
      </c>
      <c r="BG835" t="s">
        <v>74</v>
      </c>
      <c r="BH835" t="s">
        <v>74</v>
      </c>
      <c r="BI835">
        <v>6</v>
      </c>
      <c r="BJ835" t="s">
        <v>2607</v>
      </c>
      <c r="BK835" t="s">
        <v>139</v>
      </c>
      <c r="BL835" t="s">
        <v>1557</v>
      </c>
      <c r="BM835" t="s">
        <v>11894</v>
      </c>
      <c r="BN835" t="s">
        <v>74</v>
      </c>
      <c r="BO835" t="s">
        <v>988</v>
      </c>
      <c r="BP835" t="s">
        <v>74</v>
      </c>
      <c r="BQ835" t="s">
        <v>74</v>
      </c>
      <c r="BR835" t="s">
        <v>98</v>
      </c>
      <c r="BS835" t="s">
        <v>11928</v>
      </c>
      <c r="BT835" t="str">
        <f>HYPERLINK("https%3A%2F%2Fwww.webofscience.com%2Fwos%2Fwoscc%2Ffull-record%2FWOS:000225548300004","View Full Record in Web of Science")</f>
        <v>View Full Record in Web of Science</v>
      </c>
    </row>
    <row r="836" spans="1:72" x14ac:dyDescent="0.15">
      <c r="A836" t="s">
        <v>122</v>
      </c>
      <c r="B836" t="s">
        <v>11929</v>
      </c>
      <c r="C836" t="s">
        <v>74</v>
      </c>
      <c r="D836" t="s">
        <v>74</v>
      </c>
      <c r="E836" t="s">
        <v>74</v>
      </c>
      <c r="F836" t="s">
        <v>11929</v>
      </c>
      <c r="G836" t="s">
        <v>74</v>
      </c>
      <c r="H836" t="s">
        <v>74</v>
      </c>
      <c r="I836" t="s">
        <v>11930</v>
      </c>
      <c r="J836" t="s">
        <v>2591</v>
      </c>
      <c r="K836" t="s">
        <v>74</v>
      </c>
      <c r="L836" t="s">
        <v>74</v>
      </c>
      <c r="M836" t="s">
        <v>79</v>
      </c>
      <c r="N836" t="s">
        <v>126</v>
      </c>
      <c r="O836" t="s">
        <v>74</v>
      </c>
      <c r="P836" t="s">
        <v>74</v>
      </c>
      <c r="Q836" t="s">
        <v>74</v>
      </c>
      <c r="R836" t="s">
        <v>74</v>
      </c>
      <c r="S836" t="s">
        <v>74</v>
      </c>
      <c r="T836" t="s">
        <v>74</v>
      </c>
      <c r="U836" t="s">
        <v>11931</v>
      </c>
      <c r="V836" t="s">
        <v>11932</v>
      </c>
      <c r="W836" t="s">
        <v>2716</v>
      </c>
      <c r="X836" t="s">
        <v>2717</v>
      </c>
      <c r="Y836" t="s">
        <v>2718</v>
      </c>
      <c r="Z836" t="s">
        <v>11933</v>
      </c>
      <c r="AA836" t="s">
        <v>74</v>
      </c>
      <c r="AB836" t="s">
        <v>74</v>
      </c>
      <c r="AC836" t="s">
        <v>74</v>
      </c>
      <c r="AD836" t="s">
        <v>74</v>
      </c>
      <c r="AE836" t="s">
        <v>74</v>
      </c>
      <c r="AF836" t="s">
        <v>74</v>
      </c>
      <c r="AG836">
        <v>76</v>
      </c>
      <c r="AH836">
        <v>25</v>
      </c>
      <c r="AI836">
        <v>25</v>
      </c>
      <c r="AJ836">
        <v>0</v>
      </c>
      <c r="AK836">
        <v>14</v>
      </c>
      <c r="AL836" t="s">
        <v>1644</v>
      </c>
      <c r="AM836" t="s">
        <v>1645</v>
      </c>
      <c r="AN836" t="s">
        <v>1646</v>
      </c>
      <c r="AO836" t="s">
        <v>2603</v>
      </c>
      <c r="AP836" t="s">
        <v>2619</v>
      </c>
      <c r="AQ836" t="s">
        <v>74</v>
      </c>
      <c r="AR836" t="s">
        <v>2604</v>
      </c>
      <c r="AS836" t="s">
        <v>2605</v>
      </c>
      <c r="AT836" t="s">
        <v>11880</v>
      </c>
      <c r="AU836">
        <v>2004</v>
      </c>
      <c r="AV836">
        <v>36</v>
      </c>
      <c r="AW836">
        <v>2</v>
      </c>
      <c r="AX836" t="s">
        <v>74</v>
      </c>
      <c r="AY836" t="s">
        <v>74</v>
      </c>
      <c r="AZ836" t="s">
        <v>74</v>
      </c>
      <c r="BA836" t="s">
        <v>74</v>
      </c>
      <c r="BB836">
        <v>172</v>
      </c>
      <c r="BC836">
        <v>180</v>
      </c>
      <c r="BD836" t="s">
        <v>74</v>
      </c>
      <c r="BE836" t="s">
        <v>11934</v>
      </c>
      <c r="BF836" t="str">
        <f>HYPERLINK("http://dx.doi.org/10.1657/1523-0430(2004)036[0172:EHAOMB]2.0.CO;2","http://dx.doi.org/10.1657/1523-0430(2004)036[0172:EHAOMB]2.0.CO;2")</f>
        <v>http://dx.doi.org/10.1657/1523-0430(2004)036[0172:EHAOMB]2.0.CO;2</v>
      </c>
      <c r="BG836" t="s">
        <v>74</v>
      </c>
      <c r="BH836" t="s">
        <v>74</v>
      </c>
      <c r="BI836">
        <v>9</v>
      </c>
      <c r="BJ836" t="s">
        <v>2607</v>
      </c>
      <c r="BK836" t="s">
        <v>139</v>
      </c>
      <c r="BL836" t="s">
        <v>1557</v>
      </c>
      <c r="BM836" t="s">
        <v>11894</v>
      </c>
      <c r="BN836" t="s">
        <v>74</v>
      </c>
      <c r="BO836" t="s">
        <v>988</v>
      </c>
      <c r="BP836" t="s">
        <v>74</v>
      </c>
      <c r="BQ836" t="s">
        <v>74</v>
      </c>
      <c r="BR836" t="s">
        <v>98</v>
      </c>
      <c r="BS836" t="s">
        <v>11935</v>
      </c>
      <c r="BT836" t="str">
        <f>HYPERLINK("https%3A%2F%2Fwww.webofscience.com%2Fwos%2Fwoscc%2Ffull-record%2FWOS:000225548300005","View Full Record in Web of Science")</f>
        <v>View Full Record in Web of Science</v>
      </c>
    </row>
    <row r="837" spans="1:72" x14ac:dyDescent="0.15">
      <c r="A837" t="s">
        <v>122</v>
      </c>
      <c r="B837" t="s">
        <v>11936</v>
      </c>
      <c r="C837" t="s">
        <v>74</v>
      </c>
      <c r="D837" t="s">
        <v>74</v>
      </c>
      <c r="E837" t="s">
        <v>74</v>
      </c>
      <c r="F837" t="s">
        <v>11936</v>
      </c>
      <c r="G837" t="s">
        <v>74</v>
      </c>
      <c r="H837" t="s">
        <v>74</v>
      </c>
      <c r="I837" t="s">
        <v>11937</v>
      </c>
      <c r="J837" t="s">
        <v>2591</v>
      </c>
      <c r="K837" t="s">
        <v>74</v>
      </c>
      <c r="L837" t="s">
        <v>74</v>
      </c>
      <c r="M837" t="s">
        <v>79</v>
      </c>
      <c r="N837" t="s">
        <v>581</v>
      </c>
      <c r="O837" t="s">
        <v>74</v>
      </c>
      <c r="P837" t="s">
        <v>74</v>
      </c>
      <c r="Q837" t="s">
        <v>74</v>
      </c>
      <c r="R837" t="s">
        <v>74</v>
      </c>
      <c r="S837" t="s">
        <v>74</v>
      </c>
      <c r="T837" t="s">
        <v>74</v>
      </c>
      <c r="U837" t="s">
        <v>11938</v>
      </c>
      <c r="V837" t="s">
        <v>11939</v>
      </c>
      <c r="W837" t="s">
        <v>11940</v>
      </c>
      <c r="X837" t="s">
        <v>11941</v>
      </c>
      <c r="Y837" t="s">
        <v>11942</v>
      </c>
      <c r="Z837" t="s">
        <v>11943</v>
      </c>
      <c r="AA837" t="s">
        <v>11944</v>
      </c>
      <c r="AB837" t="s">
        <v>11945</v>
      </c>
      <c r="AC837" t="s">
        <v>74</v>
      </c>
      <c r="AD837" t="s">
        <v>74</v>
      </c>
      <c r="AE837" t="s">
        <v>74</v>
      </c>
      <c r="AF837" t="s">
        <v>74</v>
      </c>
      <c r="AG837">
        <v>101</v>
      </c>
      <c r="AH837">
        <v>125</v>
      </c>
      <c r="AI837">
        <v>167</v>
      </c>
      <c r="AJ837">
        <v>3</v>
      </c>
      <c r="AK837">
        <v>74</v>
      </c>
      <c r="AL837" t="s">
        <v>2600</v>
      </c>
      <c r="AM837" t="s">
        <v>2601</v>
      </c>
      <c r="AN837" t="s">
        <v>2602</v>
      </c>
      <c r="AO837" t="s">
        <v>2603</v>
      </c>
      <c r="AP837" t="s">
        <v>74</v>
      </c>
      <c r="AQ837" t="s">
        <v>74</v>
      </c>
      <c r="AR837" t="s">
        <v>2604</v>
      </c>
      <c r="AS837" t="s">
        <v>2605</v>
      </c>
      <c r="AT837" t="s">
        <v>11880</v>
      </c>
      <c r="AU837">
        <v>2004</v>
      </c>
      <c r="AV837">
        <v>36</v>
      </c>
      <c r="AW837">
        <v>2</v>
      </c>
      <c r="AX837" t="s">
        <v>74</v>
      </c>
      <c r="AY837" t="s">
        <v>74</v>
      </c>
      <c r="AZ837" t="s">
        <v>74</v>
      </c>
      <c r="BA837" t="s">
        <v>74</v>
      </c>
      <c r="BB837">
        <v>181</v>
      </c>
      <c r="BC837">
        <v>200</v>
      </c>
      <c r="BD837" t="s">
        <v>74</v>
      </c>
      <c r="BE837" t="s">
        <v>11946</v>
      </c>
      <c r="BF837" t="str">
        <f>HYPERLINK("http://dx.doi.org/10.1657/1523-0430(2004)036[0181:ROSCIT]2.0.CO;2","http://dx.doi.org/10.1657/1523-0430(2004)036[0181:ROSCIT]2.0.CO;2")</f>
        <v>http://dx.doi.org/10.1657/1523-0430(2004)036[0181:ROSCIT]2.0.CO;2</v>
      </c>
      <c r="BG837" t="s">
        <v>74</v>
      </c>
      <c r="BH837" t="s">
        <v>74</v>
      </c>
      <c r="BI837">
        <v>20</v>
      </c>
      <c r="BJ837" t="s">
        <v>2607</v>
      </c>
      <c r="BK837" t="s">
        <v>139</v>
      </c>
      <c r="BL837" t="s">
        <v>1557</v>
      </c>
      <c r="BM837" t="s">
        <v>11894</v>
      </c>
      <c r="BN837" t="s">
        <v>74</v>
      </c>
      <c r="BO837" t="s">
        <v>1866</v>
      </c>
      <c r="BP837" t="s">
        <v>74</v>
      </c>
      <c r="BQ837" t="s">
        <v>74</v>
      </c>
      <c r="BR837" t="s">
        <v>98</v>
      </c>
      <c r="BS837" t="s">
        <v>11947</v>
      </c>
      <c r="BT837" t="str">
        <f>HYPERLINK("https%3A%2F%2Fwww.webofscience.com%2Fwos%2Fwoscc%2Ffull-record%2FWOS:000225548300006","View Full Record in Web of Science")</f>
        <v>View Full Record in Web of Science</v>
      </c>
    </row>
    <row r="838" spans="1:72" x14ac:dyDescent="0.15">
      <c r="A838" t="s">
        <v>122</v>
      </c>
      <c r="B838" t="s">
        <v>11948</v>
      </c>
      <c r="C838" t="s">
        <v>74</v>
      </c>
      <c r="D838" t="s">
        <v>74</v>
      </c>
      <c r="E838" t="s">
        <v>74</v>
      </c>
      <c r="F838" t="s">
        <v>11948</v>
      </c>
      <c r="G838" t="s">
        <v>74</v>
      </c>
      <c r="H838" t="s">
        <v>74</v>
      </c>
      <c r="I838" t="s">
        <v>11949</v>
      </c>
      <c r="J838" t="s">
        <v>2591</v>
      </c>
      <c r="K838" t="s">
        <v>74</v>
      </c>
      <c r="L838" t="s">
        <v>74</v>
      </c>
      <c r="M838" t="s">
        <v>79</v>
      </c>
      <c r="N838" t="s">
        <v>126</v>
      </c>
      <c r="O838" t="s">
        <v>74</v>
      </c>
      <c r="P838" t="s">
        <v>74</v>
      </c>
      <c r="Q838" t="s">
        <v>74</v>
      </c>
      <c r="R838" t="s">
        <v>74</v>
      </c>
      <c r="S838" t="s">
        <v>74</v>
      </c>
      <c r="T838" t="s">
        <v>74</v>
      </c>
      <c r="U838" t="s">
        <v>11950</v>
      </c>
      <c r="V838" t="s">
        <v>11951</v>
      </c>
      <c r="W838" t="s">
        <v>11952</v>
      </c>
      <c r="X838" t="s">
        <v>11953</v>
      </c>
      <c r="Y838" t="s">
        <v>11954</v>
      </c>
      <c r="Z838" t="s">
        <v>11955</v>
      </c>
      <c r="AA838" t="s">
        <v>74</v>
      </c>
      <c r="AB838" t="s">
        <v>74</v>
      </c>
      <c r="AC838" t="s">
        <v>74</v>
      </c>
      <c r="AD838" t="s">
        <v>74</v>
      </c>
      <c r="AE838" t="s">
        <v>74</v>
      </c>
      <c r="AF838" t="s">
        <v>74</v>
      </c>
      <c r="AG838">
        <v>60</v>
      </c>
      <c r="AH838">
        <v>71</v>
      </c>
      <c r="AI838">
        <v>83</v>
      </c>
      <c r="AJ838">
        <v>3</v>
      </c>
      <c r="AK838">
        <v>47</v>
      </c>
      <c r="AL838" t="s">
        <v>2600</v>
      </c>
      <c r="AM838" t="s">
        <v>2601</v>
      </c>
      <c r="AN838" t="s">
        <v>2602</v>
      </c>
      <c r="AO838" t="s">
        <v>2603</v>
      </c>
      <c r="AP838" t="s">
        <v>74</v>
      </c>
      <c r="AQ838" t="s">
        <v>74</v>
      </c>
      <c r="AR838" t="s">
        <v>2604</v>
      </c>
      <c r="AS838" t="s">
        <v>2605</v>
      </c>
      <c r="AT838" t="s">
        <v>11880</v>
      </c>
      <c r="AU838">
        <v>2004</v>
      </c>
      <c r="AV838">
        <v>36</v>
      </c>
      <c r="AW838">
        <v>2</v>
      </c>
      <c r="AX838" t="s">
        <v>74</v>
      </c>
      <c r="AY838" t="s">
        <v>74</v>
      </c>
      <c r="AZ838" t="s">
        <v>74</v>
      </c>
      <c r="BA838" t="s">
        <v>74</v>
      </c>
      <c r="BB838">
        <v>201</v>
      </c>
      <c r="BC838">
        <v>207</v>
      </c>
      <c r="BD838" t="s">
        <v>74</v>
      </c>
      <c r="BE838" t="s">
        <v>11956</v>
      </c>
      <c r="BF838" t="str">
        <f>HYPERLINK("http://dx.doi.org/10.1657/1523-0430(2004)036[0201:IORDOS]2.0.CO;2","http://dx.doi.org/10.1657/1523-0430(2004)036[0201:IORDOS]2.0.CO;2")</f>
        <v>http://dx.doi.org/10.1657/1523-0430(2004)036[0201:IORDOS]2.0.CO;2</v>
      </c>
      <c r="BG838" t="s">
        <v>74</v>
      </c>
      <c r="BH838" t="s">
        <v>74</v>
      </c>
      <c r="BI838">
        <v>7</v>
      </c>
      <c r="BJ838" t="s">
        <v>2607</v>
      </c>
      <c r="BK838" t="s">
        <v>139</v>
      </c>
      <c r="BL838" t="s">
        <v>1557</v>
      </c>
      <c r="BM838" t="s">
        <v>11894</v>
      </c>
      <c r="BN838" t="s">
        <v>74</v>
      </c>
      <c r="BO838" t="s">
        <v>988</v>
      </c>
      <c r="BP838" t="s">
        <v>74</v>
      </c>
      <c r="BQ838" t="s">
        <v>74</v>
      </c>
      <c r="BR838" t="s">
        <v>98</v>
      </c>
      <c r="BS838" t="s">
        <v>11957</v>
      </c>
      <c r="BT838" t="str">
        <f>HYPERLINK("https%3A%2F%2Fwww.webofscience.com%2Fwos%2Fwoscc%2Ffull-record%2FWOS:000225548300007","View Full Record in Web of Science")</f>
        <v>View Full Record in Web of Science</v>
      </c>
    </row>
    <row r="839" spans="1:72" x14ac:dyDescent="0.15">
      <c r="A839" t="s">
        <v>122</v>
      </c>
      <c r="B839" t="s">
        <v>11958</v>
      </c>
      <c r="C839" t="s">
        <v>74</v>
      </c>
      <c r="D839" t="s">
        <v>74</v>
      </c>
      <c r="E839" t="s">
        <v>74</v>
      </c>
      <c r="F839" t="s">
        <v>11958</v>
      </c>
      <c r="G839" t="s">
        <v>74</v>
      </c>
      <c r="H839" t="s">
        <v>74</v>
      </c>
      <c r="I839" t="s">
        <v>11959</v>
      </c>
      <c r="J839" t="s">
        <v>2591</v>
      </c>
      <c r="K839" t="s">
        <v>74</v>
      </c>
      <c r="L839" t="s">
        <v>74</v>
      </c>
      <c r="M839" t="s">
        <v>79</v>
      </c>
      <c r="N839" t="s">
        <v>126</v>
      </c>
      <c r="O839" t="s">
        <v>74</v>
      </c>
      <c r="P839" t="s">
        <v>74</v>
      </c>
      <c r="Q839" t="s">
        <v>74</v>
      </c>
      <c r="R839" t="s">
        <v>74</v>
      </c>
      <c r="S839" t="s">
        <v>74</v>
      </c>
      <c r="T839" t="s">
        <v>74</v>
      </c>
      <c r="U839" t="s">
        <v>11960</v>
      </c>
      <c r="V839" t="s">
        <v>11961</v>
      </c>
      <c r="W839" t="s">
        <v>11962</v>
      </c>
      <c r="X839" t="s">
        <v>2694</v>
      </c>
      <c r="Y839" t="s">
        <v>11963</v>
      </c>
      <c r="Z839" t="s">
        <v>11964</v>
      </c>
      <c r="AA839" t="s">
        <v>11965</v>
      </c>
      <c r="AB839" t="s">
        <v>74</v>
      </c>
      <c r="AC839" t="s">
        <v>74</v>
      </c>
      <c r="AD839" t="s">
        <v>74</v>
      </c>
      <c r="AE839" t="s">
        <v>74</v>
      </c>
      <c r="AF839" t="s">
        <v>74</v>
      </c>
      <c r="AG839">
        <v>45</v>
      </c>
      <c r="AH839">
        <v>12</v>
      </c>
      <c r="AI839">
        <v>16</v>
      </c>
      <c r="AJ839">
        <v>0</v>
      </c>
      <c r="AK839">
        <v>23</v>
      </c>
      <c r="AL839" t="s">
        <v>2600</v>
      </c>
      <c r="AM839" t="s">
        <v>2601</v>
      </c>
      <c r="AN839" t="s">
        <v>2602</v>
      </c>
      <c r="AO839" t="s">
        <v>2603</v>
      </c>
      <c r="AP839" t="s">
        <v>2619</v>
      </c>
      <c r="AQ839" t="s">
        <v>74</v>
      </c>
      <c r="AR839" t="s">
        <v>2604</v>
      </c>
      <c r="AS839" t="s">
        <v>2605</v>
      </c>
      <c r="AT839" t="s">
        <v>11880</v>
      </c>
      <c r="AU839">
        <v>2004</v>
      </c>
      <c r="AV839">
        <v>36</v>
      </c>
      <c r="AW839">
        <v>2</v>
      </c>
      <c r="AX839" t="s">
        <v>74</v>
      </c>
      <c r="AY839" t="s">
        <v>74</v>
      </c>
      <c r="AZ839" t="s">
        <v>74</v>
      </c>
      <c r="BA839" t="s">
        <v>74</v>
      </c>
      <c r="BB839">
        <v>208</v>
      </c>
      <c r="BC839">
        <v>218</v>
      </c>
      <c r="BD839" t="s">
        <v>74</v>
      </c>
      <c r="BE839" t="s">
        <v>11966</v>
      </c>
      <c r="BF839" t="str">
        <f>HYPERLINK("http://dx.doi.org/10.1657/1523-0430(2004)036[0208:BDAPDI]2.0.CO;2","http://dx.doi.org/10.1657/1523-0430(2004)036[0208:BDAPDI]2.0.CO;2")</f>
        <v>http://dx.doi.org/10.1657/1523-0430(2004)036[0208:BDAPDI]2.0.CO;2</v>
      </c>
      <c r="BG839" t="s">
        <v>74</v>
      </c>
      <c r="BH839" t="s">
        <v>74</v>
      </c>
      <c r="BI839">
        <v>11</v>
      </c>
      <c r="BJ839" t="s">
        <v>2607</v>
      </c>
      <c r="BK839" t="s">
        <v>139</v>
      </c>
      <c r="BL839" t="s">
        <v>1557</v>
      </c>
      <c r="BM839" t="s">
        <v>11894</v>
      </c>
      <c r="BN839" t="s">
        <v>74</v>
      </c>
      <c r="BO839" t="s">
        <v>988</v>
      </c>
      <c r="BP839" t="s">
        <v>74</v>
      </c>
      <c r="BQ839" t="s">
        <v>74</v>
      </c>
      <c r="BR839" t="s">
        <v>98</v>
      </c>
      <c r="BS839" t="s">
        <v>11967</v>
      </c>
      <c r="BT839" t="str">
        <f>HYPERLINK("https%3A%2F%2Fwww.webofscience.com%2Fwos%2Fwoscc%2Ffull-record%2FWOS:000225548300008","View Full Record in Web of Science")</f>
        <v>View Full Record in Web of Science</v>
      </c>
    </row>
    <row r="840" spans="1:72" x14ac:dyDescent="0.15">
      <c r="A840" t="s">
        <v>122</v>
      </c>
      <c r="B840" t="s">
        <v>11968</v>
      </c>
      <c r="C840" t="s">
        <v>74</v>
      </c>
      <c r="D840" t="s">
        <v>74</v>
      </c>
      <c r="E840" t="s">
        <v>74</v>
      </c>
      <c r="F840" t="s">
        <v>11968</v>
      </c>
      <c r="G840" t="s">
        <v>74</v>
      </c>
      <c r="H840" t="s">
        <v>74</v>
      </c>
      <c r="I840" t="s">
        <v>11969</v>
      </c>
      <c r="J840" t="s">
        <v>2591</v>
      </c>
      <c r="K840" t="s">
        <v>74</v>
      </c>
      <c r="L840" t="s">
        <v>74</v>
      </c>
      <c r="M840" t="s">
        <v>79</v>
      </c>
      <c r="N840" t="s">
        <v>126</v>
      </c>
      <c r="O840" t="s">
        <v>74</v>
      </c>
      <c r="P840" t="s">
        <v>74</v>
      </c>
      <c r="Q840" t="s">
        <v>74</v>
      </c>
      <c r="R840" t="s">
        <v>74</v>
      </c>
      <c r="S840" t="s">
        <v>74</v>
      </c>
      <c r="T840" t="s">
        <v>74</v>
      </c>
      <c r="U840" t="s">
        <v>11970</v>
      </c>
      <c r="V840" t="s">
        <v>11971</v>
      </c>
      <c r="W840" t="s">
        <v>11972</v>
      </c>
      <c r="X840" t="s">
        <v>11973</v>
      </c>
      <c r="Y840" t="s">
        <v>11974</v>
      </c>
      <c r="Z840" t="s">
        <v>11975</v>
      </c>
      <c r="AA840" t="s">
        <v>11976</v>
      </c>
      <c r="AB840" t="s">
        <v>11977</v>
      </c>
      <c r="AC840" t="s">
        <v>74</v>
      </c>
      <c r="AD840" t="s">
        <v>74</v>
      </c>
      <c r="AE840" t="s">
        <v>74</v>
      </c>
      <c r="AF840" t="s">
        <v>74</v>
      </c>
      <c r="AG840">
        <v>47</v>
      </c>
      <c r="AH840">
        <v>10</v>
      </c>
      <c r="AI840">
        <v>12</v>
      </c>
      <c r="AJ840">
        <v>0</v>
      </c>
      <c r="AK840">
        <v>13</v>
      </c>
      <c r="AL840" t="s">
        <v>1644</v>
      </c>
      <c r="AM840" t="s">
        <v>1645</v>
      </c>
      <c r="AN840" t="s">
        <v>1646</v>
      </c>
      <c r="AO840" t="s">
        <v>2603</v>
      </c>
      <c r="AP840" t="s">
        <v>2619</v>
      </c>
      <c r="AQ840" t="s">
        <v>74</v>
      </c>
      <c r="AR840" t="s">
        <v>2604</v>
      </c>
      <c r="AS840" t="s">
        <v>2605</v>
      </c>
      <c r="AT840" t="s">
        <v>11880</v>
      </c>
      <c r="AU840">
        <v>2004</v>
      </c>
      <c r="AV840">
        <v>36</v>
      </c>
      <c r="AW840">
        <v>2</v>
      </c>
      <c r="AX840" t="s">
        <v>74</v>
      </c>
      <c r="AY840" t="s">
        <v>74</v>
      </c>
      <c r="AZ840" t="s">
        <v>74</v>
      </c>
      <c r="BA840" t="s">
        <v>74</v>
      </c>
      <c r="BB840">
        <v>219</v>
      </c>
      <c r="BC840">
        <v>228</v>
      </c>
      <c r="BD840" t="s">
        <v>74</v>
      </c>
      <c r="BE840" t="s">
        <v>11978</v>
      </c>
      <c r="BF840" t="str">
        <f>HYPERLINK("http://dx.doi.org/10.1657/1523-0430(2004)036[0219:LOISAP]2.0.CO;2","http://dx.doi.org/10.1657/1523-0430(2004)036[0219:LOISAP]2.0.CO;2")</f>
        <v>http://dx.doi.org/10.1657/1523-0430(2004)036[0219:LOISAP]2.0.CO;2</v>
      </c>
      <c r="BG840" t="s">
        <v>74</v>
      </c>
      <c r="BH840" t="s">
        <v>74</v>
      </c>
      <c r="BI840">
        <v>10</v>
      </c>
      <c r="BJ840" t="s">
        <v>2607</v>
      </c>
      <c r="BK840" t="s">
        <v>139</v>
      </c>
      <c r="BL840" t="s">
        <v>1557</v>
      </c>
      <c r="BM840" t="s">
        <v>11894</v>
      </c>
      <c r="BN840" t="s">
        <v>74</v>
      </c>
      <c r="BO840" t="s">
        <v>988</v>
      </c>
      <c r="BP840" t="s">
        <v>74</v>
      </c>
      <c r="BQ840" t="s">
        <v>74</v>
      </c>
      <c r="BR840" t="s">
        <v>98</v>
      </c>
      <c r="BS840" t="s">
        <v>11979</v>
      </c>
      <c r="BT840" t="str">
        <f>HYPERLINK("https%3A%2F%2Fwww.webofscience.com%2Fwos%2Fwoscc%2Ffull-record%2FWOS:000225548300009","View Full Record in Web of Science")</f>
        <v>View Full Record in Web of Science</v>
      </c>
    </row>
    <row r="841" spans="1:72" x14ac:dyDescent="0.15">
      <c r="A841" t="s">
        <v>122</v>
      </c>
      <c r="B841" t="s">
        <v>11980</v>
      </c>
      <c r="C841" t="s">
        <v>74</v>
      </c>
      <c r="D841" t="s">
        <v>74</v>
      </c>
      <c r="E841" t="s">
        <v>74</v>
      </c>
      <c r="F841" t="s">
        <v>11980</v>
      </c>
      <c r="G841" t="s">
        <v>74</v>
      </c>
      <c r="H841" t="s">
        <v>74</v>
      </c>
      <c r="I841" t="s">
        <v>11981</v>
      </c>
      <c r="J841" t="s">
        <v>2591</v>
      </c>
      <c r="K841" t="s">
        <v>74</v>
      </c>
      <c r="L841" t="s">
        <v>74</v>
      </c>
      <c r="M841" t="s">
        <v>79</v>
      </c>
      <c r="N841" t="s">
        <v>126</v>
      </c>
      <c r="O841" t="s">
        <v>74</v>
      </c>
      <c r="P841" t="s">
        <v>74</v>
      </c>
      <c r="Q841" t="s">
        <v>74</v>
      </c>
      <c r="R841" t="s">
        <v>74</v>
      </c>
      <c r="S841" t="s">
        <v>74</v>
      </c>
      <c r="T841" t="s">
        <v>74</v>
      </c>
      <c r="U841" t="s">
        <v>11982</v>
      </c>
      <c r="V841" t="s">
        <v>11983</v>
      </c>
      <c r="W841" t="s">
        <v>11984</v>
      </c>
      <c r="X841" t="s">
        <v>11985</v>
      </c>
      <c r="Y841" t="s">
        <v>7331</v>
      </c>
      <c r="Z841" t="s">
        <v>11986</v>
      </c>
      <c r="AA841" t="s">
        <v>11987</v>
      </c>
      <c r="AB841" t="s">
        <v>11988</v>
      </c>
      <c r="AC841" t="s">
        <v>74</v>
      </c>
      <c r="AD841" t="s">
        <v>74</v>
      </c>
      <c r="AE841" t="s">
        <v>74</v>
      </c>
      <c r="AF841" t="s">
        <v>74</v>
      </c>
      <c r="AG841">
        <v>47</v>
      </c>
      <c r="AH841">
        <v>39</v>
      </c>
      <c r="AI841">
        <v>44</v>
      </c>
      <c r="AJ841">
        <v>2</v>
      </c>
      <c r="AK841">
        <v>23</v>
      </c>
      <c r="AL841" t="s">
        <v>1644</v>
      </c>
      <c r="AM841" t="s">
        <v>1645</v>
      </c>
      <c r="AN841" t="s">
        <v>1646</v>
      </c>
      <c r="AO841" t="s">
        <v>2603</v>
      </c>
      <c r="AP841" t="s">
        <v>2619</v>
      </c>
      <c r="AQ841" t="s">
        <v>74</v>
      </c>
      <c r="AR841" t="s">
        <v>2604</v>
      </c>
      <c r="AS841" t="s">
        <v>2605</v>
      </c>
      <c r="AT841" t="s">
        <v>11880</v>
      </c>
      <c r="AU841">
        <v>2004</v>
      </c>
      <c r="AV841">
        <v>36</v>
      </c>
      <c r="AW841">
        <v>2</v>
      </c>
      <c r="AX841" t="s">
        <v>74</v>
      </c>
      <c r="AY841" t="s">
        <v>74</v>
      </c>
      <c r="AZ841" t="s">
        <v>74</v>
      </c>
      <c r="BA841" t="s">
        <v>74</v>
      </c>
      <c r="BB841">
        <v>229</v>
      </c>
      <c r="BC841">
        <v>238</v>
      </c>
      <c r="BD841" t="s">
        <v>74</v>
      </c>
      <c r="BE841" t="s">
        <v>11989</v>
      </c>
      <c r="BF841" t="str">
        <f>HYPERLINK("http://dx.doi.org/10.1657/1523-0430(2004)036[0229:TASSBI]2.0.CO;2","http://dx.doi.org/10.1657/1523-0430(2004)036[0229:TASSBI]2.0.CO;2")</f>
        <v>http://dx.doi.org/10.1657/1523-0430(2004)036[0229:TASSBI]2.0.CO;2</v>
      </c>
      <c r="BG841" t="s">
        <v>74</v>
      </c>
      <c r="BH841" t="s">
        <v>74</v>
      </c>
      <c r="BI841">
        <v>10</v>
      </c>
      <c r="BJ841" t="s">
        <v>2607</v>
      </c>
      <c r="BK841" t="s">
        <v>139</v>
      </c>
      <c r="BL841" t="s">
        <v>1557</v>
      </c>
      <c r="BM841" t="s">
        <v>11894</v>
      </c>
      <c r="BN841" t="s">
        <v>74</v>
      </c>
      <c r="BO841" t="s">
        <v>988</v>
      </c>
      <c r="BP841" t="s">
        <v>74</v>
      </c>
      <c r="BQ841" t="s">
        <v>74</v>
      </c>
      <c r="BR841" t="s">
        <v>98</v>
      </c>
      <c r="BS841" t="s">
        <v>11990</v>
      </c>
      <c r="BT841" t="str">
        <f>HYPERLINK("https%3A%2F%2Fwww.webofscience.com%2Fwos%2Fwoscc%2Ffull-record%2FWOS:000225548300010","View Full Record in Web of Science")</f>
        <v>View Full Record in Web of Science</v>
      </c>
    </row>
    <row r="842" spans="1:72" x14ac:dyDescent="0.15">
      <c r="A842" t="s">
        <v>122</v>
      </c>
      <c r="B842" t="s">
        <v>11991</v>
      </c>
      <c r="C842" t="s">
        <v>74</v>
      </c>
      <c r="D842" t="s">
        <v>74</v>
      </c>
      <c r="E842" t="s">
        <v>74</v>
      </c>
      <c r="F842" t="s">
        <v>11991</v>
      </c>
      <c r="G842" t="s">
        <v>74</v>
      </c>
      <c r="H842" t="s">
        <v>74</v>
      </c>
      <c r="I842" t="s">
        <v>11992</v>
      </c>
      <c r="J842" t="s">
        <v>2591</v>
      </c>
      <c r="K842" t="s">
        <v>74</v>
      </c>
      <c r="L842" t="s">
        <v>74</v>
      </c>
      <c r="M842" t="s">
        <v>79</v>
      </c>
      <c r="N842" t="s">
        <v>126</v>
      </c>
      <c r="O842" t="s">
        <v>74</v>
      </c>
      <c r="P842" t="s">
        <v>74</v>
      </c>
      <c r="Q842" t="s">
        <v>74</v>
      </c>
      <c r="R842" t="s">
        <v>74</v>
      </c>
      <c r="S842" t="s">
        <v>74</v>
      </c>
      <c r="T842" t="s">
        <v>74</v>
      </c>
      <c r="U842" t="s">
        <v>11993</v>
      </c>
      <c r="V842" t="s">
        <v>11994</v>
      </c>
      <c r="W842" t="s">
        <v>11995</v>
      </c>
      <c r="X842" t="s">
        <v>11996</v>
      </c>
      <c r="Y842" t="s">
        <v>11997</v>
      </c>
      <c r="Z842" t="s">
        <v>11998</v>
      </c>
      <c r="AA842" t="s">
        <v>11999</v>
      </c>
      <c r="AB842" t="s">
        <v>12000</v>
      </c>
      <c r="AC842" t="s">
        <v>74</v>
      </c>
      <c r="AD842" t="s">
        <v>74</v>
      </c>
      <c r="AE842" t="s">
        <v>74</v>
      </c>
      <c r="AF842" t="s">
        <v>74</v>
      </c>
      <c r="AG842">
        <v>43</v>
      </c>
      <c r="AH842">
        <v>42</v>
      </c>
      <c r="AI842">
        <v>47</v>
      </c>
      <c r="AJ842">
        <v>0</v>
      </c>
      <c r="AK842">
        <v>36</v>
      </c>
      <c r="AL842" t="s">
        <v>2600</v>
      </c>
      <c r="AM842" t="s">
        <v>2601</v>
      </c>
      <c r="AN842" t="s">
        <v>2602</v>
      </c>
      <c r="AO842" t="s">
        <v>2603</v>
      </c>
      <c r="AP842" t="s">
        <v>74</v>
      </c>
      <c r="AQ842" t="s">
        <v>74</v>
      </c>
      <c r="AR842" t="s">
        <v>2604</v>
      </c>
      <c r="AS842" t="s">
        <v>2605</v>
      </c>
      <c r="AT842" t="s">
        <v>11880</v>
      </c>
      <c r="AU842">
        <v>2004</v>
      </c>
      <c r="AV842">
        <v>36</v>
      </c>
      <c r="AW842">
        <v>2</v>
      </c>
      <c r="AX842" t="s">
        <v>74</v>
      </c>
      <c r="AY842" t="s">
        <v>74</v>
      </c>
      <c r="AZ842" t="s">
        <v>74</v>
      </c>
      <c r="BA842" t="s">
        <v>74</v>
      </c>
      <c r="BB842">
        <v>239</v>
      </c>
      <c r="BC842">
        <v>243</v>
      </c>
      <c r="BD842" t="s">
        <v>74</v>
      </c>
      <c r="BE842" t="s">
        <v>12001</v>
      </c>
      <c r="BF842" t="str">
        <f>HYPERLINK("http://dx.doi.org/10.1657/1523-0430(2004)036[0239:RFCAAA]2.0.CO;2","http://dx.doi.org/10.1657/1523-0430(2004)036[0239:RFCAAA]2.0.CO;2")</f>
        <v>http://dx.doi.org/10.1657/1523-0430(2004)036[0239:RFCAAA]2.0.CO;2</v>
      </c>
      <c r="BG842" t="s">
        <v>74</v>
      </c>
      <c r="BH842" t="s">
        <v>74</v>
      </c>
      <c r="BI842">
        <v>5</v>
      </c>
      <c r="BJ842" t="s">
        <v>2607</v>
      </c>
      <c r="BK842" t="s">
        <v>139</v>
      </c>
      <c r="BL842" t="s">
        <v>1557</v>
      </c>
      <c r="BM842" t="s">
        <v>11894</v>
      </c>
      <c r="BN842" t="s">
        <v>74</v>
      </c>
      <c r="BO842" t="s">
        <v>988</v>
      </c>
      <c r="BP842" t="s">
        <v>74</v>
      </c>
      <c r="BQ842" t="s">
        <v>74</v>
      </c>
      <c r="BR842" t="s">
        <v>98</v>
      </c>
      <c r="BS842" t="s">
        <v>12002</v>
      </c>
      <c r="BT842" t="str">
        <f>HYPERLINK("https%3A%2F%2Fwww.webofscience.com%2Fwos%2Fwoscc%2Ffull-record%2FWOS:000225548300011","View Full Record in Web of Science")</f>
        <v>View Full Record in Web of Science</v>
      </c>
    </row>
    <row r="843" spans="1:72" x14ac:dyDescent="0.15">
      <c r="A843" t="s">
        <v>122</v>
      </c>
      <c r="B843" t="s">
        <v>12003</v>
      </c>
      <c r="C843" t="s">
        <v>74</v>
      </c>
      <c r="D843" t="s">
        <v>74</v>
      </c>
      <c r="E843" t="s">
        <v>74</v>
      </c>
      <c r="F843" t="s">
        <v>12003</v>
      </c>
      <c r="G843" t="s">
        <v>74</v>
      </c>
      <c r="H843" t="s">
        <v>74</v>
      </c>
      <c r="I843" t="s">
        <v>12004</v>
      </c>
      <c r="J843" t="s">
        <v>2591</v>
      </c>
      <c r="K843" t="s">
        <v>74</v>
      </c>
      <c r="L843" t="s">
        <v>74</v>
      </c>
      <c r="M843" t="s">
        <v>79</v>
      </c>
      <c r="N843" t="s">
        <v>126</v>
      </c>
      <c r="O843" t="s">
        <v>74</v>
      </c>
      <c r="P843" t="s">
        <v>74</v>
      </c>
      <c r="Q843" t="s">
        <v>74</v>
      </c>
      <c r="R843" t="s">
        <v>74</v>
      </c>
      <c r="S843" t="s">
        <v>74</v>
      </c>
      <c r="T843" t="s">
        <v>74</v>
      </c>
      <c r="U843" t="s">
        <v>12005</v>
      </c>
      <c r="V843" t="s">
        <v>12006</v>
      </c>
      <c r="W843" t="s">
        <v>12007</v>
      </c>
      <c r="X843" t="s">
        <v>12008</v>
      </c>
      <c r="Y843" t="s">
        <v>12009</v>
      </c>
      <c r="Z843" t="s">
        <v>12010</v>
      </c>
      <c r="AA843" t="s">
        <v>74</v>
      </c>
      <c r="AB843" t="s">
        <v>74</v>
      </c>
      <c r="AC843" t="s">
        <v>74</v>
      </c>
      <c r="AD843" t="s">
        <v>74</v>
      </c>
      <c r="AE843" t="s">
        <v>74</v>
      </c>
      <c r="AF843" t="s">
        <v>74</v>
      </c>
      <c r="AG843">
        <v>19</v>
      </c>
      <c r="AH843">
        <v>76</v>
      </c>
      <c r="AI843">
        <v>84</v>
      </c>
      <c r="AJ843">
        <v>0</v>
      </c>
      <c r="AK843">
        <v>18</v>
      </c>
      <c r="AL843" t="s">
        <v>1644</v>
      </c>
      <c r="AM843" t="s">
        <v>1645</v>
      </c>
      <c r="AN843" t="s">
        <v>1646</v>
      </c>
      <c r="AO843" t="s">
        <v>2603</v>
      </c>
      <c r="AP843" t="s">
        <v>2619</v>
      </c>
      <c r="AQ843" t="s">
        <v>74</v>
      </c>
      <c r="AR843" t="s">
        <v>2604</v>
      </c>
      <c r="AS843" t="s">
        <v>2605</v>
      </c>
      <c r="AT843" t="s">
        <v>11880</v>
      </c>
      <c r="AU843">
        <v>2004</v>
      </c>
      <c r="AV843">
        <v>36</v>
      </c>
      <c r="AW843">
        <v>2</v>
      </c>
      <c r="AX843" t="s">
        <v>74</v>
      </c>
      <c r="AY843" t="s">
        <v>74</v>
      </c>
      <c r="AZ843" t="s">
        <v>74</v>
      </c>
      <c r="BA843" t="s">
        <v>74</v>
      </c>
      <c r="BB843">
        <v>244</v>
      </c>
      <c r="BC843">
        <v>248</v>
      </c>
      <c r="BD843" t="s">
        <v>74</v>
      </c>
      <c r="BE843" t="s">
        <v>12011</v>
      </c>
      <c r="BF843" t="str">
        <f>HYPERLINK("http://dx.doi.org/10.1657/1523-0430(2004)036[0244:CSARDA]2.0.CO;2","http://dx.doi.org/10.1657/1523-0430(2004)036[0244:CSARDA]2.0.CO;2")</f>
        <v>http://dx.doi.org/10.1657/1523-0430(2004)036[0244:CSARDA]2.0.CO;2</v>
      </c>
      <c r="BG843" t="s">
        <v>74</v>
      </c>
      <c r="BH843" t="s">
        <v>74</v>
      </c>
      <c r="BI843">
        <v>5</v>
      </c>
      <c r="BJ843" t="s">
        <v>2607</v>
      </c>
      <c r="BK843" t="s">
        <v>139</v>
      </c>
      <c r="BL843" t="s">
        <v>1557</v>
      </c>
      <c r="BM843" t="s">
        <v>11894</v>
      </c>
      <c r="BN843" t="s">
        <v>74</v>
      </c>
      <c r="BO843" t="s">
        <v>988</v>
      </c>
      <c r="BP843" t="s">
        <v>74</v>
      </c>
      <c r="BQ843" t="s">
        <v>74</v>
      </c>
      <c r="BR843" t="s">
        <v>98</v>
      </c>
      <c r="BS843" t="s">
        <v>12012</v>
      </c>
      <c r="BT843" t="str">
        <f>HYPERLINK("https%3A%2F%2Fwww.webofscience.com%2Fwos%2Fwoscc%2Ffull-record%2FWOS:000225548300012","View Full Record in Web of Science")</f>
        <v>View Full Record in Web of Science</v>
      </c>
    </row>
    <row r="844" spans="1:72" x14ac:dyDescent="0.15">
      <c r="A844" t="s">
        <v>122</v>
      </c>
      <c r="B844" t="s">
        <v>12013</v>
      </c>
      <c r="C844" t="s">
        <v>74</v>
      </c>
      <c r="D844" t="s">
        <v>74</v>
      </c>
      <c r="E844" t="s">
        <v>74</v>
      </c>
      <c r="F844" t="s">
        <v>12013</v>
      </c>
      <c r="G844" t="s">
        <v>74</v>
      </c>
      <c r="H844" t="s">
        <v>74</v>
      </c>
      <c r="I844" t="s">
        <v>12014</v>
      </c>
      <c r="J844" t="s">
        <v>2591</v>
      </c>
      <c r="K844" t="s">
        <v>74</v>
      </c>
      <c r="L844" t="s">
        <v>74</v>
      </c>
      <c r="M844" t="s">
        <v>79</v>
      </c>
      <c r="N844" t="s">
        <v>126</v>
      </c>
      <c r="O844" t="s">
        <v>74</v>
      </c>
      <c r="P844" t="s">
        <v>74</v>
      </c>
      <c r="Q844" t="s">
        <v>74</v>
      </c>
      <c r="R844" t="s">
        <v>74</v>
      </c>
      <c r="S844" t="s">
        <v>74</v>
      </c>
      <c r="T844" t="s">
        <v>74</v>
      </c>
      <c r="U844" t="s">
        <v>12015</v>
      </c>
      <c r="V844" t="s">
        <v>12016</v>
      </c>
      <c r="W844" t="s">
        <v>12017</v>
      </c>
      <c r="X844" t="s">
        <v>12018</v>
      </c>
      <c r="Y844" t="s">
        <v>12019</v>
      </c>
      <c r="Z844" t="s">
        <v>12020</v>
      </c>
      <c r="AA844" t="s">
        <v>74</v>
      </c>
      <c r="AB844" t="s">
        <v>74</v>
      </c>
      <c r="AC844" t="s">
        <v>74</v>
      </c>
      <c r="AD844" t="s">
        <v>74</v>
      </c>
      <c r="AE844" t="s">
        <v>74</v>
      </c>
      <c r="AF844" t="s">
        <v>74</v>
      </c>
      <c r="AG844">
        <v>18</v>
      </c>
      <c r="AH844">
        <v>4</v>
      </c>
      <c r="AI844">
        <v>6</v>
      </c>
      <c r="AJ844">
        <v>0</v>
      </c>
      <c r="AK844">
        <v>6</v>
      </c>
      <c r="AL844" t="s">
        <v>2600</v>
      </c>
      <c r="AM844" t="s">
        <v>2601</v>
      </c>
      <c r="AN844" t="s">
        <v>2602</v>
      </c>
      <c r="AO844" t="s">
        <v>2603</v>
      </c>
      <c r="AP844" t="s">
        <v>74</v>
      </c>
      <c r="AQ844" t="s">
        <v>74</v>
      </c>
      <c r="AR844" t="s">
        <v>2604</v>
      </c>
      <c r="AS844" t="s">
        <v>2605</v>
      </c>
      <c r="AT844" t="s">
        <v>11880</v>
      </c>
      <c r="AU844">
        <v>2004</v>
      </c>
      <c r="AV844">
        <v>36</v>
      </c>
      <c r="AW844">
        <v>2</v>
      </c>
      <c r="AX844" t="s">
        <v>74</v>
      </c>
      <c r="AY844" t="s">
        <v>74</v>
      </c>
      <c r="AZ844" t="s">
        <v>74</v>
      </c>
      <c r="BA844" t="s">
        <v>74</v>
      </c>
      <c r="BB844">
        <v>249</v>
      </c>
      <c r="BC844">
        <v>260</v>
      </c>
      <c r="BD844" t="s">
        <v>74</v>
      </c>
      <c r="BE844" t="s">
        <v>12021</v>
      </c>
      <c r="BF844" t="str">
        <f>HYPERLINK("http://dx.doi.org/10.1657/1523-0430(2004)036[0249:UIDEMO]2.0.CO;2","http://dx.doi.org/10.1657/1523-0430(2004)036[0249:UIDEMO]2.0.CO;2")</f>
        <v>http://dx.doi.org/10.1657/1523-0430(2004)036[0249:UIDEMO]2.0.CO;2</v>
      </c>
      <c r="BG844" t="s">
        <v>74</v>
      </c>
      <c r="BH844" t="s">
        <v>74</v>
      </c>
      <c r="BI844">
        <v>12</v>
      </c>
      <c r="BJ844" t="s">
        <v>2607</v>
      </c>
      <c r="BK844" t="s">
        <v>139</v>
      </c>
      <c r="BL844" t="s">
        <v>1557</v>
      </c>
      <c r="BM844" t="s">
        <v>11894</v>
      </c>
      <c r="BN844" t="s">
        <v>74</v>
      </c>
      <c r="BO844" t="s">
        <v>988</v>
      </c>
      <c r="BP844" t="s">
        <v>74</v>
      </c>
      <c r="BQ844" t="s">
        <v>74</v>
      </c>
      <c r="BR844" t="s">
        <v>98</v>
      </c>
      <c r="BS844" t="s">
        <v>12022</v>
      </c>
      <c r="BT844" t="str">
        <f>HYPERLINK("https%3A%2F%2Fwww.webofscience.com%2Fwos%2Fwoscc%2Ffull-record%2FWOS:000225548300013","View Full Record in Web of Science")</f>
        <v>View Full Record in Web of Science</v>
      </c>
    </row>
    <row r="845" spans="1:72" x14ac:dyDescent="0.15">
      <c r="A845" t="s">
        <v>122</v>
      </c>
      <c r="B845" t="s">
        <v>12023</v>
      </c>
      <c r="C845" t="s">
        <v>74</v>
      </c>
      <c r="D845" t="s">
        <v>74</v>
      </c>
      <c r="E845" t="s">
        <v>74</v>
      </c>
      <c r="F845" t="s">
        <v>12023</v>
      </c>
      <c r="G845" t="s">
        <v>74</v>
      </c>
      <c r="H845" t="s">
        <v>74</v>
      </c>
      <c r="I845" t="s">
        <v>12024</v>
      </c>
      <c r="J845" t="s">
        <v>2591</v>
      </c>
      <c r="K845" t="s">
        <v>74</v>
      </c>
      <c r="L845" t="s">
        <v>74</v>
      </c>
      <c r="M845" t="s">
        <v>79</v>
      </c>
      <c r="N845" t="s">
        <v>126</v>
      </c>
      <c r="O845" t="s">
        <v>74</v>
      </c>
      <c r="P845" t="s">
        <v>74</v>
      </c>
      <c r="Q845" t="s">
        <v>74</v>
      </c>
      <c r="R845" t="s">
        <v>74</v>
      </c>
      <c r="S845" t="s">
        <v>74</v>
      </c>
      <c r="T845" t="s">
        <v>74</v>
      </c>
      <c r="U845" t="s">
        <v>12025</v>
      </c>
      <c r="V845" t="s">
        <v>12026</v>
      </c>
      <c r="W845" t="s">
        <v>11911</v>
      </c>
      <c r="X845" t="s">
        <v>2762</v>
      </c>
      <c r="Y845" t="s">
        <v>12027</v>
      </c>
      <c r="Z845" t="s">
        <v>12028</v>
      </c>
      <c r="AA845" t="s">
        <v>74</v>
      </c>
      <c r="AB845" t="s">
        <v>74</v>
      </c>
      <c r="AC845" t="s">
        <v>74</v>
      </c>
      <c r="AD845" t="s">
        <v>74</v>
      </c>
      <c r="AE845" t="s">
        <v>74</v>
      </c>
      <c r="AF845" t="s">
        <v>74</v>
      </c>
      <c r="AG845">
        <v>26</v>
      </c>
      <c r="AH845">
        <v>42</v>
      </c>
      <c r="AI845">
        <v>55</v>
      </c>
      <c r="AJ845">
        <v>1</v>
      </c>
      <c r="AK845">
        <v>13</v>
      </c>
      <c r="AL845" t="s">
        <v>1644</v>
      </c>
      <c r="AM845" t="s">
        <v>1645</v>
      </c>
      <c r="AN845" t="s">
        <v>1646</v>
      </c>
      <c r="AO845" t="s">
        <v>2603</v>
      </c>
      <c r="AP845" t="s">
        <v>2619</v>
      </c>
      <c r="AQ845" t="s">
        <v>74</v>
      </c>
      <c r="AR845" t="s">
        <v>2604</v>
      </c>
      <c r="AS845" t="s">
        <v>2605</v>
      </c>
      <c r="AT845" t="s">
        <v>11880</v>
      </c>
      <c r="AU845">
        <v>2004</v>
      </c>
      <c r="AV845">
        <v>36</v>
      </c>
      <c r="AW845">
        <v>2</v>
      </c>
      <c r="AX845" t="s">
        <v>74</v>
      </c>
      <c r="AY845" t="s">
        <v>74</v>
      </c>
      <c r="AZ845" t="s">
        <v>74</v>
      </c>
      <c r="BA845" t="s">
        <v>74</v>
      </c>
      <c r="BB845">
        <v>261</v>
      </c>
      <c r="BC845">
        <v>271</v>
      </c>
      <c r="BD845" t="s">
        <v>74</v>
      </c>
      <c r="BE845" t="s">
        <v>12029</v>
      </c>
      <c r="BF845" t="str">
        <f>HYPERLINK("http://dx.doi.org/10.1657/1523-0430(2004)036[0261:RCIAEO]2.0.CO;2","http://dx.doi.org/10.1657/1523-0430(2004)036[0261:RCIAEO]2.0.CO;2")</f>
        <v>http://dx.doi.org/10.1657/1523-0430(2004)036[0261:RCIAEO]2.0.CO;2</v>
      </c>
      <c r="BG845" t="s">
        <v>74</v>
      </c>
      <c r="BH845" t="s">
        <v>74</v>
      </c>
      <c r="BI845">
        <v>11</v>
      </c>
      <c r="BJ845" t="s">
        <v>2607</v>
      </c>
      <c r="BK845" t="s">
        <v>139</v>
      </c>
      <c r="BL845" t="s">
        <v>1557</v>
      </c>
      <c r="BM845" t="s">
        <v>11894</v>
      </c>
      <c r="BN845" t="s">
        <v>74</v>
      </c>
      <c r="BO845" t="s">
        <v>988</v>
      </c>
      <c r="BP845" t="s">
        <v>74</v>
      </c>
      <c r="BQ845" t="s">
        <v>74</v>
      </c>
      <c r="BR845" t="s">
        <v>98</v>
      </c>
      <c r="BS845" t="s">
        <v>12030</v>
      </c>
      <c r="BT845" t="str">
        <f>HYPERLINK("https%3A%2F%2Fwww.webofscience.com%2Fwos%2Fwoscc%2Ffull-record%2FWOS:000225548300014","View Full Record in Web of Science")</f>
        <v>View Full Record in Web of Science</v>
      </c>
    </row>
    <row r="846" spans="1:72" x14ac:dyDescent="0.15">
      <c r="A846" t="s">
        <v>122</v>
      </c>
      <c r="B846" t="s">
        <v>12031</v>
      </c>
      <c r="C846" t="s">
        <v>74</v>
      </c>
      <c r="D846" t="s">
        <v>74</v>
      </c>
      <c r="E846" t="s">
        <v>74</v>
      </c>
      <c r="F846" t="s">
        <v>12031</v>
      </c>
      <c r="G846" t="s">
        <v>74</v>
      </c>
      <c r="H846" t="s">
        <v>74</v>
      </c>
      <c r="I846" t="s">
        <v>12032</v>
      </c>
      <c r="J846" t="s">
        <v>2591</v>
      </c>
      <c r="K846" t="s">
        <v>74</v>
      </c>
      <c r="L846" t="s">
        <v>74</v>
      </c>
      <c r="M846" t="s">
        <v>79</v>
      </c>
      <c r="N846" t="s">
        <v>126</v>
      </c>
      <c r="O846" t="s">
        <v>74</v>
      </c>
      <c r="P846" t="s">
        <v>74</v>
      </c>
      <c r="Q846" t="s">
        <v>74</v>
      </c>
      <c r="R846" t="s">
        <v>74</v>
      </c>
      <c r="S846" t="s">
        <v>74</v>
      </c>
      <c r="T846" t="s">
        <v>74</v>
      </c>
      <c r="U846" t="s">
        <v>12033</v>
      </c>
      <c r="V846" t="s">
        <v>12034</v>
      </c>
      <c r="W846" t="s">
        <v>12035</v>
      </c>
      <c r="X846" t="s">
        <v>12036</v>
      </c>
      <c r="Y846" t="s">
        <v>12037</v>
      </c>
      <c r="Z846" t="s">
        <v>12038</v>
      </c>
      <c r="AA846" t="s">
        <v>12039</v>
      </c>
      <c r="AB846" t="s">
        <v>12040</v>
      </c>
      <c r="AC846" t="s">
        <v>74</v>
      </c>
      <c r="AD846" t="s">
        <v>74</v>
      </c>
      <c r="AE846" t="s">
        <v>74</v>
      </c>
      <c r="AF846" t="s">
        <v>74</v>
      </c>
      <c r="AG846">
        <v>43</v>
      </c>
      <c r="AH846">
        <v>34</v>
      </c>
      <c r="AI846">
        <v>40</v>
      </c>
      <c r="AJ846">
        <v>0</v>
      </c>
      <c r="AK846">
        <v>12</v>
      </c>
      <c r="AL846" t="s">
        <v>1644</v>
      </c>
      <c r="AM846" t="s">
        <v>1645</v>
      </c>
      <c r="AN846" t="s">
        <v>1646</v>
      </c>
      <c r="AO846" t="s">
        <v>2603</v>
      </c>
      <c r="AP846" t="s">
        <v>2619</v>
      </c>
      <c r="AQ846" t="s">
        <v>74</v>
      </c>
      <c r="AR846" t="s">
        <v>2604</v>
      </c>
      <c r="AS846" t="s">
        <v>2605</v>
      </c>
      <c r="AT846" t="s">
        <v>11880</v>
      </c>
      <c r="AU846">
        <v>2004</v>
      </c>
      <c r="AV846">
        <v>36</v>
      </c>
      <c r="AW846">
        <v>2</v>
      </c>
      <c r="AX846" t="s">
        <v>74</v>
      </c>
      <c r="AY846" t="s">
        <v>74</v>
      </c>
      <c r="AZ846" t="s">
        <v>74</v>
      </c>
      <c r="BA846" t="s">
        <v>74</v>
      </c>
      <c r="BB846">
        <v>272</v>
      </c>
      <c r="BC846">
        <v>279</v>
      </c>
      <c r="BD846" t="s">
        <v>74</v>
      </c>
      <c r="BE846" t="s">
        <v>12041</v>
      </c>
      <c r="BF846" t="str">
        <f>HYPERLINK("http://dx.doi.org/10.1657/1523-0430(2004)036[0272:GDACIT]2.0.CO;2","http://dx.doi.org/10.1657/1523-0430(2004)036[0272:GDACIT]2.0.CO;2")</f>
        <v>http://dx.doi.org/10.1657/1523-0430(2004)036[0272:GDACIT]2.0.CO;2</v>
      </c>
      <c r="BG846" t="s">
        <v>74</v>
      </c>
      <c r="BH846" t="s">
        <v>74</v>
      </c>
      <c r="BI846">
        <v>8</v>
      </c>
      <c r="BJ846" t="s">
        <v>2607</v>
      </c>
      <c r="BK846" t="s">
        <v>139</v>
      </c>
      <c r="BL846" t="s">
        <v>1557</v>
      </c>
      <c r="BM846" t="s">
        <v>11894</v>
      </c>
      <c r="BN846" t="s">
        <v>74</v>
      </c>
      <c r="BO846" t="s">
        <v>1866</v>
      </c>
      <c r="BP846" t="s">
        <v>74</v>
      </c>
      <c r="BQ846" t="s">
        <v>74</v>
      </c>
      <c r="BR846" t="s">
        <v>98</v>
      </c>
      <c r="BS846" t="s">
        <v>12042</v>
      </c>
      <c r="BT846" t="str">
        <f>HYPERLINK("https%3A%2F%2Fwww.webofscience.com%2Fwos%2Fwoscc%2Ffull-record%2FWOS:000225548300015","View Full Record in Web of Science")</f>
        <v>View Full Record in Web of Science</v>
      </c>
    </row>
    <row r="847" spans="1:72" x14ac:dyDescent="0.15">
      <c r="A847" t="s">
        <v>122</v>
      </c>
      <c r="B847" t="s">
        <v>12043</v>
      </c>
      <c r="C847" t="s">
        <v>74</v>
      </c>
      <c r="D847" t="s">
        <v>74</v>
      </c>
      <c r="E847" t="s">
        <v>74</v>
      </c>
      <c r="F847" t="s">
        <v>12043</v>
      </c>
      <c r="G847" t="s">
        <v>74</v>
      </c>
      <c r="H847" t="s">
        <v>74</v>
      </c>
      <c r="I847" t="s">
        <v>12044</v>
      </c>
      <c r="J847" t="s">
        <v>12045</v>
      </c>
      <c r="K847" t="s">
        <v>74</v>
      </c>
      <c r="L847" t="s">
        <v>74</v>
      </c>
      <c r="M847" t="s">
        <v>79</v>
      </c>
      <c r="N847" t="s">
        <v>1129</v>
      </c>
      <c r="O847" t="s">
        <v>12046</v>
      </c>
      <c r="P847" t="s">
        <v>12047</v>
      </c>
      <c r="Q847" t="s">
        <v>12048</v>
      </c>
      <c r="R847" t="s">
        <v>74</v>
      </c>
      <c r="S847" t="s">
        <v>12049</v>
      </c>
      <c r="T847" t="s">
        <v>74</v>
      </c>
      <c r="U847" t="s">
        <v>12050</v>
      </c>
      <c r="V847" t="s">
        <v>12051</v>
      </c>
      <c r="W847" t="s">
        <v>113</v>
      </c>
      <c r="X847" t="s">
        <v>103</v>
      </c>
      <c r="Y847" t="s">
        <v>12052</v>
      </c>
      <c r="Z847" t="s">
        <v>12053</v>
      </c>
      <c r="AA847" t="s">
        <v>74</v>
      </c>
      <c r="AB847" t="s">
        <v>74</v>
      </c>
      <c r="AC847" t="s">
        <v>74</v>
      </c>
      <c r="AD847" t="s">
        <v>74</v>
      </c>
      <c r="AE847" t="s">
        <v>74</v>
      </c>
      <c r="AF847" t="s">
        <v>74</v>
      </c>
      <c r="AG847">
        <v>43</v>
      </c>
      <c r="AH847">
        <v>25</v>
      </c>
      <c r="AI847">
        <v>26</v>
      </c>
      <c r="AJ847">
        <v>0</v>
      </c>
      <c r="AK847">
        <v>18</v>
      </c>
      <c r="AL847" t="s">
        <v>12054</v>
      </c>
      <c r="AM847" t="s">
        <v>12055</v>
      </c>
      <c r="AN847" t="s">
        <v>12056</v>
      </c>
      <c r="AO847" t="s">
        <v>12057</v>
      </c>
      <c r="AP847" t="s">
        <v>74</v>
      </c>
      <c r="AQ847" t="s">
        <v>74</v>
      </c>
      <c r="AR847" t="s">
        <v>12058</v>
      </c>
      <c r="AS847" t="s">
        <v>12059</v>
      </c>
      <c r="AT847" t="s">
        <v>11880</v>
      </c>
      <c r="AU847">
        <v>2004</v>
      </c>
      <c r="AV847">
        <v>74</v>
      </c>
      <c r="AW847">
        <v>3</v>
      </c>
      <c r="AX847" t="s">
        <v>74</v>
      </c>
      <c r="AY847" t="s">
        <v>74</v>
      </c>
      <c r="AZ847" t="s">
        <v>74</v>
      </c>
      <c r="BA847" t="s">
        <v>74</v>
      </c>
      <c r="BB847">
        <v>583</v>
      </c>
      <c r="BC847">
        <v>605</v>
      </c>
      <c r="BD847" t="s">
        <v>74</v>
      </c>
      <c r="BE847" t="s">
        <v>74</v>
      </c>
      <c r="BF847" t="s">
        <v>74</v>
      </c>
      <c r="BG847" t="s">
        <v>74</v>
      </c>
      <c r="BH847" t="s">
        <v>74</v>
      </c>
      <c r="BI847">
        <v>23</v>
      </c>
      <c r="BJ847" t="s">
        <v>1709</v>
      </c>
      <c r="BK847" t="s">
        <v>1150</v>
      </c>
      <c r="BL847" t="s">
        <v>1709</v>
      </c>
      <c r="BM847" t="s">
        <v>12060</v>
      </c>
      <c r="BN847" t="s">
        <v>74</v>
      </c>
      <c r="BO847" t="s">
        <v>74</v>
      </c>
      <c r="BP847" t="s">
        <v>74</v>
      </c>
      <c r="BQ847" t="s">
        <v>74</v>
      </c>
      <c r="BR847" t="s">
        <v>98</v>
      </c>
      <c r="BS847" t="s">
        <v>12061</v>
      </c>
      <c r="BT847" t="str">
        <f>HYPERLINK("https%3A%2F%2Fwww.webofscience.com%2Fwos%2Fwoscc%2Ffull-record%2FWOS:000223283600008","View Full Record in Web of Science")</f>
        <v>View Full Record in Web of Science</v>
      </c>
    </row>
    <row r="848" spans="1:72" x14ac:dyDescent="0.15">
      <c r="A848" t="s">
        <v>122</v>
      </c>
      <c r="B848" t="s">
        <v>12062</v>
      </c>
      <c r="C848" t="s">
        <v>74</v>
      </c>
      <c r="D848" t="s">
        <v>74</v>
      </c>
      <c r="E848" t="s">
        <v>74</v>
      </c>
      <c r="F848" t="s">
        <v>12062</v>
      </c>
      <c r="G848" t="s">
        <v>74</v>
      </c>
      <c r="H848" t="s">
        <v>74</v>
      </c>
      <c r="I848" t="s">
        <v>12063</v>
      </c>
      <c r="J848" t="s">
        <v>10697</v>
      </c>
      <c r="K848" t="s">
        <v>74</v>
      </c>
      <c r="L848" t="s">
        <v>74</v>
      </c>
      <c r="M848" t="s">
        <v>79</v>
      </c>
      <c r="N848" t="s">
        <v>1129</v>
      </c>
      <c r="O848" t="s">
        <v>12064</v>
      </c>
      <c r="P848" t="s">
        <v>12065</v>
      </c>
      <c r="Q848" t="s">
        <v>12066</v>
      </c>
      <c r="R848" t="s">
        <v>74</v>
      </c>
      <c r="S848" t="s">
        <v>74</v>
      </c>
      <c r="T848" t="s">
        <v>74</v>
      </c>
      <c r="U848" t="s">
        <v>12067</v>
      </c>
      <c r="V848" t="s">
        <v>12068</v>
      </c>
      <c r="W848" t="s">
        <v>12069</v>
      </c>
      <c r="X848" t="s">
        <v>12070</v>
      </c>
      <c r="Y848" t="s">
        <v>12071</v>
      </c>
      <c r="Z848" t="s">
        <v>12072</v>
      </c>
      <c r="AA848" t="s">
        <v>11252</v>
      </c>
      <c r="AB848" t="s">
        <v>12073</v>
      </c>
      <c r="AC848" t="s">
        <v>74</v>
      </c>
      <c r="AD848" t="s">
        <v>74</v>
      </c>
      <c r="AE848" t="s">
        <v>74</v>
      </c>
      <c r="AF848" t="s">
        <v>74</v>
      </c>
      <c r="AG848">
        <v>34</v>
      </c>
      <c r="AH848">
        <v>29</v>
      </c>
      <c r="AI848">
        <v>34</v>
      </c>
      <c r="AJ848">
        <v>1</v>
      </c>
      <c r="AK848">
        <v>10</v>
      </c>
      <c r="AL848" t="s">
        <v>10705</v>
      </c>
      <c r="AM848" t="s">
        <v>5719</v>
      </c>
      <c r="AN848" t="s">
        <v>8523</v>
      </c>
      <c r="AO848" t="s">
        <v>10706</v>
      </c>
      <c r="AP848" t="s">
        <v>10707</v>
      </c>
      <c r="AQ848" t="s">
        <v>74</v>
      </c>
      <c r="AR848" t="s">
        <v>10708</v>
      </c>
      <c r="AS848" t="s">
        <v>10709</v>
      </c>
      <c r="AT848" t="s">
        <v>11880</v>
      </c>
      <c r="AU848">
        <v>2004</v>
      </c>
      <c r="AV848">
        <v>61</v>
      </c>
      <c r="AW848">
        <v>5</v>
      </c>
      <c r="AX848" t="s">
        <v>74</v>
      </c>
      <c r="AY848" t="s">
        <v>74</v>
      </c>
      <c r="AZ848" t="s">
        <v>74</v>
      </c>
      <c r="BA848" t="s">
        <v>74</v>
      </c>
      <c r="BB848">
        <v>736</v>
      </c>
      <c r="BC848">
        <v>743</v>
      </c>
      <c r="BD848" t="s">
        <v>74</v>
      </c>
      <c r="BE848" t="s">
        <v>12074</v>
      </c>
      <c r="BF848" t="str">
        <f>HYPERLINK("http://dx.doi.org/10.1139/F04-072","http://dx.doi.org/10.1139/F04-072")</f>
        <v>http://dx.doi.org/10.1139/F04-072</v>
      </c>
      <c r="BG848" t="s">
        <v>74</v>
      </c>
      <c r="BH848" t="s">
        <v>74</v>
      </c>
      <c r="BI848">
        <v>8</v>
      </c>
      <c r="BJ848" t="s">
        <v>6312</v>
      </c>
      <c r="BK848" t="s">
        <v>1257</v>
      </c>
      <c r="BL848" t="s">
        <v>6312</v>
      </c>
      <c r="BM848" t="s">
        <v>12075</v>
      </c>
      <c r="BN848" t="s">
        <v>74</v>
      </c>
      <c r="BO848" t="s">
        <v>74</v>
      </c>
      <c r="BP848" t="s">
        <v>74</v>
      </c>
      <c r="BQ848" t="s">
        <v>74</v>
      </c>
      <c r="BR848" t="s">
        <v>98</v>
      </c>
      <c r="BS848" t="s">
        <v>12076</v>
      </c>
      <c r="BT848" t="str">
        <f>HYPERLINK("https%3A%2F%2Fwww.webofscience.com%2Fwos%2Fwoscc%2Ffull-record%2FWOS:000222390700007","View Full Record in Web of Science")</f>
        <v>View Full Record in Web of Science</v>
      </c>
    </row>
    <row r="849" spans="1:72" x14ac:dyDescent="0.15">
      <c r="A849" t="s">
        <v>122</v>
      </c>
      <c r="B849" t="s">
        <v>12077</v>
      </c>
      <c r="C849" t="s">
        <v>74</v>
      </c>
      <c r="D849" t="s">
        <v>74</v>
      </c>
      <c r="E849" t="s">
        <v>74</v>
      </c>
      <c r="F849" t="s">
        <v>12077</v>
      </c>
      <c r="G849" t="s">
        <v>74</v>
      </c>
      <c r="H849" t="s">
        <v>74</v>
      </c>
      <c r="I849" t="s">
        <v>12078</v>
      </c>
      <c r="J849" t="s">
        <v>10697</v>
      </c>
      <c r="K849" t="s">
        <v>74</v>
      </c>
      <c r="L849" t="s">
        <v>74</v>
      </c>
      <c r="M849" t="s">
        <v>79</v>
      </c>
      <c r="N849" t="s">
        <v>1129</v>
      </c>
      <c r="O849" t="s">
        <v>12064</v>
      </c>
      <c r="P849" t="s">
        <v>12065</v>
      </c>
      <c r="Q849" t="s">
        <v>12066</v>
      </c>
      <c r="R849" t="s">
        <v>74</v>
      </c>
      <c r="S849" t="s">
        <v>74</v>
      </c>
      <c r="T849" t="s">
        <v>74</v>
      </c>
      <c r="U849" t="s">
        <v>12079</v>
      </c>
      <c r="V849" t="s">
        <v>12080</v>
      </c>
      <c r="W849" t="s">
        <v>12081</v>
      </c>
      <c r="X849" t="s">
        <v>12082</v>
      </c>
      <c r="Y849" t="s">
        <v>12083</v>
      </c>
      <c r="Z849" t="s">
        <v>12084</v>
      </c>
      <c r="AA849" t="s">
        <v>12085</v>
      </c>
      <c r="AB849" t="s">
        <v>74</v>
      </c>
      <c r="AC849" t="s">
        <v>74</v>
      </c>
      <c r="AD849" t="s">
        <v>74</v>
      </c>
      <c r="AE849" t="s">
        <v>74</v>
      </c>
      <c r="AF849" t="s">
        <v>74</v>
      </c>
      <c r="AG849">
        <v>58</v>
      </c>
      <c r="AH849">
        <v>19</v>
      </c>
      <c r="AI849">
        <v>20</v>
      </c>
      <c r="AJ849">
        <v>0</v>
      </c>
      <c r="AK849">
        <v>7</v>
      </c>
      <c r="AL849" t="s">
        <v>7553</v>
      </c>
      <c r="AM849" t="s">
        <v>5719</v>
      </c>
      <c r="AN849" t="s">
        <v>7554</v>
      </c>
      <c r="AO849" t="s">
        <v>10706</v>
      </c>
      <c r="AP849" t="s">
        <v>74</v>
      </c>
      <c r="AQ849" t="s">
        <v>74</v>
      </c>
      <c r="AR849" t="s">
        <v>10708</v>
      </c>
      <c r="AS849" t="s">
        <v>10709</v>
      </c>
      <c r="AT849" t="s">
        <v>11880</v>
      </c>
      <c r="AU849">
        <v>2004</v>
      </c>
      <c r="AV849">
        <v>61</v>
      </c>
      <c r="AW849">
        <v>5</v>
      </c>
      <c r="AX849" t="s">
        <v>74</v>
      </c>
      <c r="AY849" t="s">
        <v>74</v>
      </c>
      <c r="AZ849" t="s">
        <v>74</v>
      </c>
      <c r="BA849" t="s">
        <v>74</v>
      </c>
      <c r="BB849">
        <v>788</v>
      </c>
      <c r="BC849">
        <v>803</v>
      </c>
      <c r="BD849" t="s">
        <v>74</v>
      </c>
      <c r="BE849" t="s">
        <v>12086</v>
      </c>
      <c r="BF849" t="str">
        <f>HYPERLINK("http://dx.doi.org/10.1139/F04-027","http://dx.doi.org/10.1139/F04-027")</f>
        <v>http://dx.doi.org/10.1139/F04-027</v>
      </c>
      <c r="BG849" t="s">
        <v>74</v>
      </c>
      <c r="BH849" t="s">
        <v>74</v>
      </c>
      <c r="BI849">
        <v>16</v>
      </c>
      <c r="BJ849" t="s">
        <v>6312</v>
      </c>
      <c r="BK849" t="s">
        <v>1150</v>
      </c>
      <c r="BL849" t="s">
        <v>6312</v>
      </c>
      <c r="BM849" t="s">
        <v>12075</v>
      </c>
      <c r="BN849" t="s">
        <v>74</v>
      </c>
      <c r="BO849" t="s">
        <v>74</v>
      </c>
      <c r="BP849" t="s">
        <v>74</v>
      </c>
      <c r="BQ849" t="s">
        <v>74</v>
      </c>
      <c r="BR849" t="s">
        <v>98</v>
      </c>
      <c r="BS849" t="s">
        <v>12087</v>
      </c>
      <c r="BT849" t="str">
        <f>HYPERLINK("https%3A%2F%2Fwww.webofscience.com%2Fwos%2Fwoscc%2Ffull-record%2FWOS:000222390700011","View Full Record in Web of Science")</f>
        <v>View Full Record in Web of Science</v>
      </c>
    </row>
    <row r="850" spans="1:72" x14ac:dyDescent="0.15">
      <c r="A850" t="s">
        <v>122</v>
      </c>
      <c r="B850" t="s">
        <v>12088</v>
      </c>
      <c r="C850" t="s">
        <v>74</v>
      </c>
      <c r="D850" t="s">
        <v>74</v>
      </c>
      <c r="E850" t="s">
        <v>74</v>
      </c>
      <c r="F850" t="s">
        <v>12088</v>
      </c>
      <c r="G850" t="s">
        <v>74</v>
      </c>
      <c r="H850" t="s">
        <v>74</v>
      </c>
      <c r="I850" t="s">
        <v>12089</v>
      </c>
      <c r="J850" t="s">
        <v>12090</v>
      </c>
      <c r="K850" t="s">
        <v>74</v>
      </c>
      <c r="L850" t="s">
        <v>74</v>
      </c>
      <c r="M850" t="s">
        <v>79</v>
      </c>
      <c r="N850" t="s">
        <v>126</v>
      </c>
      <c r="O850" t="s">
        <v>74</v>
      </c>
      <c r="P850" t="s">
        <v>74</v>
      </c>
      <c r="Q850" t="s">
        <v>74</v>
      </c>
      <c r="R850" t="s">
        <v>74</v>
      </c>
      <c r="S850" t="s">
        <v>74</v>
      </c>
      <c r="T850" t="s">
        <v>12091</v>
      </c>
      <c r="U850" t="s">
        <v>12092</v>
      </c>
      <c r="V850" t="s">
        <v>12093</v>
      </c>
      <c r="W850" t="s">
        <v>12094</v>
      </c>
      <c r="X850" t="s">
        <v>12095</v>
      </c>
      <c r="Y850" t="s">
        <v>12096</v>
      </c>
      <c r="Z850" t="s">
        <v>12097</v>
      </c>
      <c r="AA850" t="s">
        <v>12098</v>
      </c>
      <c r="AB850" t="s">
        <v>12099</v>
      </c>
      <c r="AC850" t="s">
        <v>74</v>
      </c>
      <c r="AD850" t="s">
        <v>74</v>
      </c>
      <c r="AE850" t="s">
        <v>74</v>
      </c>
      <c r="AF850" t="s">
        <v>74</v>
      </c>
      <c r="AG850">
        <v>60</v>
      </c>
      <c r="AH850">
        <v>83</v>
      </c>
      <c r="AI850">
        <v>103</v>
      </c>
      <c r="AJ850">
        <v>2</v>
      </c>
      <c r="AK850">
        <v>22</v>
      </c>
      <c r="AL850" t="s">
        <v>7553</v>
      </c>
      <c r="AM850" t="s">
        <v>5719</v>
      </c>
      <c r="AN850" t="s">
        <v>7554</v>
      </c>
      <c r="AO850" t="s">
        <v>12100</v>
      </c>
      <c r="AP850" t="s">
        <v>74</v>
      </c>
      <c r="AQ850" t="s">
        <v>74</v>
      </c>
      <c r="AR850" t="s">
        <v>12101</v>
      </c>
      <c r="AS850" t="s">
        <v>12102</v>
      </c>
      <c r="AT850" t="s">
        <v>11880</v>
      </c>
      <c r="AU850">
        <v>2004</v>
      </c>
      <c r="AV850">
        <v>50</v>
      </c>
      <c r="AW850">
        <v>5</v>
      </c>
      <c r="AX850" t="s">
        <v>74</v>
      </c>
      <c r="AY850" t="s">
        <v>74</v>
      </c>
      <c r="AZ850" t="s">
        <v>74</v>
      </c>
      <c r="BA850" t="s">
        <v>74</v>
      </c>
      <c r="BB850">
        <v>323</v>
      </c>
      <c r="BC850">
        <v>333</v>
      </c>
      <c r="BD850" t="s">
        <v>74</v>
      </c>
      <c r="BE850" t="s">
        <v>12103</v>
      </c>
      <c r="BF850" t="str">
        <f>HYPERLINK("http://dx.doi.org/10.1139/W04-008","http://dx.doi.org/10.1139/W04-008")</f>
        <v>http://dx.doi.org/10.1139/W04-008</v>
      </c>
      <c r="BG850" t="s">
        <v>74</v>
      </c>
      <c r="BH850" t="s">
        <v>74</v>
      </c>
      <c r="BI850">
        <v>11</v>
      </c>
      <c r="BJ850" t="s">
        <v>12104</v>
      </c>
      <c r="BK850" t="s">
        <v>139</v>
      </c>
      <c r="BL850" t="s">
        <v>12104</v>
      </c>
      <c r="BM850" t="s">
        <v>12105</v>
      </c>
      <c r="BN850">
        <v>15213740</v>
      </c>
      <c r="BO850" t="s">
        <v>329</v>
      </c>
      <c r="BP850" t="s">
        <v>74</v>
      </c>
      <c r="BQ850" t="s">
        <v>74</v>
      </c>
      <c r="BR850" t="s">
        <v>98</v>
      </c>
      <c r="BS850" t="s">
        <v>12106</v>
      </c>
      <c r="BT850" t="str">
        <f>HYPERLINK("https%3A%2F%2Fwww.webofscience.com%2Fwos%2Fwoscc%2Ffull-record%2FWOS:000222349500003","View Full Record in Web of Science")</f>
        <v>View Full Record in Web of Science</v>
      </c>
    </row>
    <row r="851" spans="1:72" x14ac:dyDescent="0.15">
      <c r="A851" t="s">
        <v>122</v>
      </c>
      <c r="B851" t="s">
        <v>12107</v>
      </c>
      <c r="C851" t="s">
        <v>74</v>
      </c>
      <c r="D851" t="s">
        <v>74</v>
      </c>
      <c r="E851" t="s">
        <v>74</v>
      </c>
      <c r="F851" t="s">
        <v>12107</v>
      </c>
      <c r="G851" t="s">
        <v>74</v>
      </c>
      <c r="H851" t="s">
        <v>74</v>
      </c>
      <c r="I851" t="s">
        <v>12108</v>
      </c>
      <c r="J851" t="s">
        <v>2993</v>
      </c>
      <c r="K851" t="s">
        <v>74</v>
      </c>
      <c r="L851" t="s">
        <v>74</v>
      </c>
      <c r="M851" t="s">
        <v>79</v>
      </c>
      <c r="N851" t="s">
        <v>918</v>
      </c>
      <c r="O851" t="s">
        <v>74</v>
      </c>
      <c r="P851" t="s">
        <v>74</v>
      </c>
      <c r="Q851" t="s">
        <v>74</v>
      </c>
      <c r="R851" t="s">
        <v>74</v>
      </c>
      <c r="S851" t="s">
        <v>74</v>
      </c>
      <c r="T851" t="s">
        <v>74</v>
      </c>
      <c r="U851" t="s">
        <v>12109</v>
      </c>
      <c r="V851" t="s">
        <v>74</v>
      </c>
      <c r="W851" t="s">
        <v>12110</v>
      </c>
      <c r="X851" t="s">
        <v>12111</v>
      </c>
      <c r="Y851" t="s">
        <v>12112</v>
      </c>
      <c r="Z851" t="s">
        <v>12113</v>
      </c>
      <c r="AA851" t="s">
        <v>74</v>
      </c>
      <c r="AB851" t="s">
        <v>12114</v>
      </c>
      <c r="AC851" t="s">
        <v>74</v>
      </c>
      <c r="AD851" t="s">
        <v>74</v>
      </c>
      <c r="AE851" t="s">
        <v>74</v>
      </c>
      <c r="AF851" t="s">
        <v>74</v>
      </c>
      <c r="AG851">
        <v>49</v>
      </c>
      <c r="AH851">
        <v>56</v>
      </c>
      <c r="AI851">
        <v>63</v>
      </c>
      <c r="AJ851">
        <v>0</v>
      </c>
      <c r="AK851">
        <v>14</v>
      </c>
      <c r="AL851" t="s">
        <v>1509</v>
      </c>
      <c r="AM851" t="s">
        <v>1510</v>
      </c>
      <c r="AN851" t="s">
        <v>1511</v>
      </c>
      <c r="AO851" t="s">
        <v>3000</v>
      </c>
      <c r="AP851" t="s">
        <v>5810</v>
      </c>
      <c r="AQ851" t="s">
        <v>74</v>
      </c>
      <c r="AR851" t="s">
        <v>2993</v>
      </c>
      <c r="AS851" t="s">
        <v>3001</v>
      </c>
      <c r="AT851" t="s">
        <v>11880</v>
      </c>
      <c r="AU851">
        <v>2004</v>
      </c>
      <c r="AV851">
        <v>64</v>
      </c>
      <c r="AW851" t="s">
        <v>2537</v>
      </c>
      <c r="AX851" t="s">
        <v>74</v>
      </c>
      <c r="AY851" t="s">
        <v>74</v>
      </c>
      <c r="AZ851" t="s">
        <v>74</v>
      </c>
      <c r="BA851" t="s">
        <v>74</v>
      </c>
      <c r="BB851">
        <v>1</v>
      </c>
      <c r="BC851">
        <v>10</v>
      </c>
      <c r="BD851" t="s">
        <v>74</v>
      </c>
      <c r="BE851" t="s">
        <v>12115</v>
      </c>
      <c r="BF851" t="str">
        <f>HYPERLINK("http://dx.doi.org/10.1023/B:CLIM.0000024792.06802.31","http://dx.doi.org/10.1023/B:CLIM.0000024792.06802.31")</f>
        <v>http://dx.doi.org/10.1023/B:CLIM.0000024792.06802.31</v>
      </c>
      <c r="BG851" t="s">
        <v>74</v>
      </c>
      <c r="BH851" t="s">
        <v>74</v>
      </c>
      <c r="BI851">
        <v>10</v>
      </c>
      <c r="BJ851" t="s">
        <v>832</v>
      </c>
      <c r="BK851" t="s">
        <v>139</v>
      </c>
      <c r="BL851" t="s">
        <v>833</v>
      </c>
      <c r="BM851" t="s">
        <v>12116</v>
      </c>
      <c r="BN851" t="s">
        <v>74</v>
      </c>
      <c r="BO851" t="s">
        <v>74</v>
      </c>
      <c r="BP851" t="s">
        <v>74</v>
      </c>
      <c r="BQ851" t="s">
        <v>74</v>
      </c>
      <c r="BR851" t="s">
        <v>98</v>
      </c>
      <c r="BS851" t="s">
        <v>12117</v>
      </c>
      <c r="BT851" t="str">
        <f>HYPERLINK("https%3A%2F%2Fwww.webofscience.com%2Fwos%2Fwoscc%2Ffull-record%2FWOS:000220927500001","View Full Record in Web of Science")</f>
        <v>View Full Record in Web of Science</v>
      </c>
    </row>
    <row r="852" spans="1:72" x14ac:dyDescent="0.15">
      <c r="A852" t="s">
        <v>122</v>
      </c>
      <c r="B852" t="s">
        <v>12118</v>
      </c>
      <c r="C852" t="s">
        <v>74</v>
      </c>
      <c r="D852" t="s">
        <v>74</v>
      </c>
      <c r="E852" t="s">
        <v>74</v>
      </c>
      <c r="F852" t="s">
        <v>12118</v>
      </c>
      <c r="G852" t="s">
        <v>74</v>
      </c>
      <c r="H852" t="s">
        <v>74</v>
      </c>
      <c r="I852" t="s">
        <v>12119</v>
      </c>
      <c r="J852" t="s">
        <v>1263</v>
      </c>
      <c r="K852" t="s">
        <v>74</v>
      </c>
      <c r="L852" t="s">
        <v>74</v>
      </c>
      <c r="M852" t="s">
        <v>79</v>
      </c>
      <c r="N852" t="s">
        <v>126</v>
      </c>
      <c r="O852" t="s">
        <v>74</v>
      </c>
      <c r="P852" t="s">
        <v>74</v>
      </c>
      <c r="Q852" t="s">
        <v>74</v>
      </c>
      <c r="R852" t="s">
        <v>74</v>
      </c>
      <c r="S852" t="s">
        <v>74</v>
      </c>
      <c r="T852" t="s">
        <v>12120</v>
      </c>
      <c r="U852" t="s">
        <v>12121</v>
      </c>
      <c r="V852" t="s">
        <v>12122</v>
      </c>
      <c r="W852" t="s">
        <v>2323</v>
      </c>
      <c r="X852" t="s">
        <v>748</v>
      </c>
      <c r="Y852" t="s">
        <v>502</v>
      </c>
      <c r="Z852" t="s">
        <v>12123</v>
      </c>
      <c r="AA852" t="s">
        <v>74</v>
      </c>
      <c r="AB852" t="s">
        <v>74</v>
      </c>
      <c r="AC852" t="s">
        <v>74</v>
      </c>
      <c r="AD852" t="s">
        <v>74</v>
      </c>
      <c r="AE852" t="s">
        <v>74</v>
      </c>
      <c r="AF852" t="s">
        <v>74</v>
      </c>
      <c r="AG852">
        <v>48</v>
      </c>
      <c r="AH852">
        <v>86</v>
      </c>
      <c r="AI852">
        <v>91</v>
      </c>
      <c r="AJ852">
        <v>0</v>
      </c>
      <c r="AK852">
        <v>13</v>
      </c>
      <c r="AL852" t="s">
        <v>1273</v>
      </c>
      <c r="AM852" t="s">
        <v>197</v>
      </c>
      <c r="AN852" t="s">
        <v>1274</v>
      </c>
      <c r="AO852" t="s">
        <v>1275</v>
      </c>
      <c r="AP852" t="s">
        <v>1276</v>
      </c>
      <c r="AQ852" t="s">
        <v>74</v>
      </c>
      <c r="AR852" t="s">
        <v>1277</v>
      </c>
      <c r="AS852" t="s">
        <v>1278</v>
      </c>
      <c r="AT852" t="s">
        <v>11880</v>
      </c>
      <c r="AU852">
        <v>2004</v>
      </c>
      <c r="AV852">
        <v>51</v>
      </c>
      <c r="AW852">
        <v>5</v>
      </c>
      <c r="AX852" t="s">
        <v>74</v>
      </c>
      <c r="AY852" t="s">
        <v>74</v>
      </c>
      <c r="AZ852" t="s">
        <v>74</v>
      </c>
      <c r="BA852" t="s">
        <v>74</v>
      </c>
      <c r="BB852">
        <v>721</v>
      </c>
      <c r="BC852">
        <v>738</v>
      </c>
      <c r="BD852" t="s">
        <v>74</v>
      </c>
      <c r="BE852" t="s">
        <v>12124</v>
      </c>
      <c r="BF852" t="str">
        <f>HYPERLINK("http://dx.doi.org/10.1016/j.dsr.2004.02.006","http://dx.doi.org/10.1016/j.dsr.2004.02.006")</f>
        <v>http://dx.doi.org/10.1016/j.dsr.2004.02.006</v>
      </c>
      <c r="BG852" t="s">
        <v>74</v>
      </c>
      <c r="BH852" t="s">
        <v>74</v>
      </c>
      <c r="BI852">
        <v>18</v>
      </c>
      <c r="BJ852" t="s">
        <v>660</v>
      </c>
      <c r="BK852" t="s">
        <v>139</v>
      </c>
      <c r="BL852" t="s">
        <v>660</v>
      </c>
      <c r="BM852" t="s">
        <v>12125</v>
      </c>
      <c r="BN852" t="s">
        <v>74</v>
      </c>
      <c r="BO852" t="s">
        <v>74</v>
      </c>
      <c r="BP852" t="s">
        <v>74</v>
      </c>
      <c r="BQ852" t="s">
        <v>74</v>
      </c>
      <c r="BR852" t="s">
        <v>98</v>
      </c>
      <c r="BS852" t="s">
        <v>12126</v>
      </c>
      <c r="BT852" t="str">
        <f>HYPERLINK("https%3A%2F%2Fwww.webofscience.com%2Fwos%2Fwoscc%2Ffull-record%2FWOS:000221697400007","View Full Record in Web of Science")</f>
        <v>View Full Record in Web of Science</v>
      </c>
    </row>
    <row r="853" spans="1:72" x14ac:dyDescent="0.15">
      <c r="A853" t="s">
        <v>122</v>
      </c>
      <c r="B853" t="s">
        <v>12127</v>
      </c>
      <c r="C853" t="s">
        <v>74</v>
      </c>
      <c r="D853" t="s">
        <v>74</v>
      </c>
      <c r="E853" t="s">
        <v>74</v>
      </c>
      <c r="F853" t="s">
        <v>12127</v>
      </c>
      <c r="G853" t="s">
        <v>74</v>
      </c>
      <c r="H853" t="s">
        <v>74</v>
      </c>
      <c r="I853" t="s">
        <v>12128</v>
      </c>
      <c r="J853" t="s">
        <v>12129</v>
      </c>
      <c r="K853" t="s">
        <v>74</v>
      </c>
      <c r="L853" t="s">
        <v>74</v>
      </c>
      <c r="M853" t="s">
        <v>79</v>
      </c>
      <c r="N853" t="s">
        <v>126</v>
      </c>
      <c r="O853" t="s">
        <v>74</v>
      </c>
      <c r="P853" t="s">
        <v>74</v>
      </c>
      <c r="Q853" t="s">
        <v>74</v>
      </c>
      <c r="R853" t="s">
        <v>74</v>
      </c>
      <c r="S853" t="s">
        <v>74</v>
      </c>
      <c r="T853" t="s">
        <v>74</v>
      </c>
      <c r="U853" t="s">
        <v>74</v>
      </c>
      <c r="V853" t="s">
        <v>12130</v>
      </c>
      <c r="W853" t="s">
        <v>12131</v>
      </c>
      <c r="X853" t="s">
        <v>12132</v>
      </c>
      <c r="Y853" t="s">
        <v>8133</v>
      </c>
      <c r="Z853" t="s">
        <v>8134</v>
      </c>
      <c r="AA853" t="s">
        <v>74</v>
      </c>
      <c r="AB853" t="s">
        <v>74</v>
      </c>
      <c r="AC853" t="s">
        <v>74</v>
      </c>
      <c r="AD853" t="s">
        <v>74</v>
      </c>
      <c r="AE853" t="s">
        <v>74</v>
      </c>
      <c r="AF853" t="s">
        <v>74</v>
      </c>
      <c r="AG853">
        <v>14</v>
      </c>
      <c r="AH853">
        <v>15</v>
      </c>
      <c r="AI853">
        <v>15</v>
      </c>
      <c r="AJ853">
        <v>0</v>
      </c>
      <c r="AK853">
        <v>1</v>
      </c>
      <c r="AL853" t="s">
        <v>1644</v>
      </c>
      <c r="AM853" t="s">
        <v>1645</v>
      </c>
      <c r="AN853" t="s">
        <v>1646</v>
      </c>
      <c r="AO853" t="s">
        <v>12133</v>
      </c>
      <c r="AP853" t="s">
        <v>12134</v>
      </c>
      <c r="AQ853" t="s">
        <v>74</v>
      </c>
      <c r="AR853" t="s">
        <v>12135</v>
      </c>
      <c r="AS853" t="s">
        <v>12136</v>
      </c>
      <c r="AT853" t="s">
        <v>11880</v>
      </c>
      <c r="AU853">
        <v>2004</v>
      </c>
      <c r="AV853">
        <v>19</v>
      </c>
      <c r="AW853">
        <v>1</v>
      </c>
      <c r="AX853" t="s">
        <v>74</v>
      </c>
      <c r="AY853" t="s">
        <v>74</v>
      </c>
      <c r="AZ853" t="s">
        <v>74</v>
      </c>
      <c r="BA853" t="s">
        <v>74</v>
      </c>
      <c r="BB853">
        <v>103</v>
      </c>
      <c r="BC853">
        <v>114</v>
      </c>
      <c r="BD853" t="s">
        <v>74</v>
      </c>
      <c r="BE853" t="s">
        <v>74</v>
      </c>
      <c r="BF853" t="s">
        <v>74</v>
      </c>
      <c r="BG853" t="s">
        <v>74</v>
      </c>
      <c r="BH853" t="s">
        <v>74</v>
      </c>
      <c r="BI853">
        <v>12</v>
      </c>
      <c r="BJ853" t="s">
        <v>1763</v>
      </c>
      <c r="BK853" t="s">
        <v>139</v>
      </c>
      <c r="BL853" t="s">
        <v>1763</v>
      </c>
      <c r="BM853" t="s">
        <v>12137</v>
      </c>
      <c r="BN853" t="s">
        <v>74</v>
      </c>
      <c r="BO853" t="s">
        <v>74</v>
      </c>
      <c r="BP853" t="s">
        <v>74</v>
      </c>
      <c r="BQ853" t="s">
        <v>74</v>
      </c>
      <c r="BR853" t="s">
        <v>98</v>
      </c>
      <c r="BS853" t="s">
        <v>12138</v>
      </c>
      <c r="BT853" t="str">
        <f>HYPERLINK("https%3A%2F%2Fwww.webofscience.com%2Fwos%2Fwoscc%2Ffull-record%2FWOS:000222049200007","View Full Record in Web of Science")</f>
        <v>View Full Record in Web of Science</v>
      </c>
    </row>
    <row r="854" spans="1:72" x14ac:dyDescent="0.15">
      <c r="A854" t="s">
        <v>122</v>
      </c>
      <c r="B854" t="s">
        <v>12139</v>
      </c>
      <c r="C854" t="s">
        <v>74</v>
      </c>
      <c r="D854" t="s">
        <v>74</v>
      </c>
      <c r="E854" t="s">
        <v>74</v>
      </c>
      <c r="F854" t="s">
        <v>12139</v>
      </c>
      <c r="G854" t="s">
        <v>74</v>
      </c>
      <c r="H854" t="s">
        <v>74</v>
      </c>
      <c r="I854" t="s">
        <v>12140</v>
      </c>
      <c r="J854" t="s">
        <v>12141</v>
      </c>
      <c r="K854" t="s">
        <v>74</v>
      </c>
      <c r="L854" t="s">
        <v>74</v>
      </c>
      <c r="M854" t="s">
        <v>79</v>
      </c>
      <c r="N854" t="s">
        <v>918</v>
      </c>
      <c r="O854" t="s">
        <v>74</v>
      </c>
      <c r="P854" t="s">
        <v>74</v>
      </c>
      <c r="Q854" t="s">
        <v>74</v>
      </c>
      <c r="R854" t="s">
        <v>74</v>
      </c>
      <c r="S854" t="s">
        <v>74</v>
      </c>
      <c r="T854" t="s">
        <v>12142</v>
      </c>
      <c r="U854" t="s">
        <v>12143</v>
      </c>
      <c r="V854" t="s">
        <v>74</v>
      </c>
      <c r="W854" t="s">
        <v>12144</v>
      </c>
      <c r="X854" t="s">
        <v>12145</v>
      </c>
      <c r="Y854" t="s">
        <v>12146</v>
      </c>
      <c r="Z854" t="s">
        <v>12147</v>
      </c>
      <c r="AA854" t="s">
        <v>12148</v>
      </c>
      <c r="AB854" t="s">
        <v>12149</v>
      </c>
      <c r="AC854" t="s">
        <v>74</v>
      </c>
      <c r="AD854" t="s">
        <v>74</v>
      </c>
      <c r="AE854" t="s">
        <v>74</v>
      </c>
      <c r="AF854" t="s">
        <v>74</v>
      </c>
      <c r="AG854">
        <v>15</v>
      </c>
      <c r="AH854">
        <v>4</v>
      </c>
      <c r="AI854">
        <v>5</v>
      </c>
      <c r="AJ854">
        <v>0</v>
      </c>
      <c r="AK854">
        <v>1</v>
      </c>
      <c r="AL854" t="s">
        <v>374</v>
      </c>
      <c r="AM854" t="s">
        <v>375</v>
      </c>
      <c r="AN854" t="s">
        <v>376</v>
      </c>
      <c r="AO854" t="s">
        <v>12150</v>
      </c>
      <c r="AP854" t="s">
        <v>74</v>
      </c>
      <c r="AQ854" t="s">
        <v>74</v>
      </c>
      <c r="AR854" t="s">
        <v>12151</v>
      </c>
      <c r="AS854" t="s">
        <v>12152</v>
      </c>
      <c r="AT854" t="s">
        <v>11880</v>
      </c>
      <c r="AU854">
        <v>2004</v>
      </c>
      <c r="AV854">
        <v>5</v>
      </c>
      <c r="AW854">
        <v>5</v>
      </c>
      <c r="AX854" t="s">
        <v>74</v>
      </c>
      <c r="AY854" t="s">
        <v>74</v>
      </c>
      <c r="AZ854" t="s">
        <v>74</v>
      </c>
      <c r="BA854" t="s">
        <v>74</v>
      </c>
      <c r="BB854">
        <v>459</v>
      </c>
      <c r="BC854">
        <v>463</v>
      </c>
      <c r="BD854" t="s">
        <v>74</v>
      </c>
      <c r="BE854" t="s">
        <v>12153</v>
      </c>
      <c r="BF854" t="str">
        <f>HYPERLINK("http://dx.doi.org/10.1038/sj.embor.7400156","http://dx.doi.org/10.1038/sj.embor.7400156")</f>
        <v>http://dx.doi.org/10.1038/sj.embor.7400156</v>
      </c>
      <c r="BG854" t="s">
        <v>74</v>
      </c>
      <c r="BH854" t="s">
        <v>74</v>
      </c>
      <c r="BI854">
        <v>5</v>
      </c>
      <c r="BJ854" t="s">
        <v>8558</v>
      </c>
      <c r="BK854" t="s">
        <v>139</v>
      </c>
      <c r="BL854" t="s">
        <v>8558</v>
      </c>
      <c r="BM854" t="s">
        <v>12154</v>
      </c>
      <c r="BN854">
        <v>15105828</v>
      </c>
      <c r="BO854" t="s">
        <v>329</v>
      </c>
      <c r="BP854" t="s">
        <v>74</v>
      </c>
      <c r="BQ854" t="s">
        <v>74</v>
      </c>
      <c r="BR854" t="s">
        <v>98</v>
      </c>
      <c r="BS854" t="s">
        <v>12155</v>
      </c>
      <c r="BT854" t="str">
        <f>HYPERLINK("https%3A%2F%2Fwww.webofscience.com%2Fwos%2Fwoscc%2Ffull-record%2FWOS:000221669500008","View Full Record in Web of Science")</f>
        <v>View Full Record in Web of Science</v>
      </c>
    </row>
    <row r="855" spans="1:72" x14ac:dyDescent="0.15">
      <c r="A855" t="s">
        <v>122</v>
      </c>
      <c r="B855" t="s">
        <v>12156</v>
      </c>
      <c r="C855" t="s">
        <v>74</v>
      </c>
      <c r="D855" t="s">
        <v>74</v>
      </c>
      <c r="E855" t="s">
        <v>74</v>
      </c>
      <c r="F855" t="s">
        <v>12156</v>
      </c>
      <c r="G855" t="s">
        <v>74</v>
      </c>
      <c r="H855" t="s">
        <v>74</v>
      </c>
      <c r="I855" t="s">
        <v>12157</v>
      </c>
      <c r="J855" t="s">
        <v>12158</v>
      </c>
      <c r="K855" t="s">
        <v>74</v>
      </c>
      <c r="L855" t="s">
        <v>74</v>
      </c>
      <c r="M855" t="s">
        <v>79</v>
      </c>
      <c r="N855" t="s">
        <v>126</v>
      </c>
      <c r="O855" t="s">
        <v>74</v>
      </c>
      <c r="P855" t="s">
        <v>74</v>
      </c>
      <c r="Q855" t="s">
        <v>74</v>
      </c>
      <c r="R855" t="s">
        <v>74</v>
      </c>
      <c r="S855" t="s">
        <v>74</v>
      </c>
      <c r="T855" t="s">
        <v>12159</v>
      </c>
      <c r="U855" t="s">
        <v>12160</v>
      </c>
      <c r="V855" t="s">
        <v>12161</v>
      </c>
      <c r="W855" t="s">
        <v>12162</v>
      </c>
      <c r="X855" t="s">
        <v>12163</v>
      </c>
      <c r="Y855" t="s">
        <v>6623</v>
      </c>
      <c r="Z855" t="s">
        <v>12164</v>
      </c>
      <c r="AA855" t="s">
        <v>12165</v>
      </c>
      <c r="AB855" t="s">
        <v>74</v>
      </c>
      <c r="AC855" t="s">
        <v>74</v>
      </c>
      <c r="AD855" t="s">
        <v>74</v>
      </c>
      <c r="AE855" t="s">
        <v>74</v>
      </c>
      <c r="AF855" t="s">
        <v>74</v>
      </c>
      <c r="AG855">
        <v>34</v>
      </c>
      <c r="AH855">
        <v>33</v>
      </c>
      <c r="AI855">
        <v>40</v>
      </c>
      <c r="AJ855">
        <v>1</v>
      </c>
      <c r="AK855">
        <v>22</v>
      </c>
      <c r="AL855" t="s">
        <v>1418</v>
      </c>
      <c r="AM855" t="s">
        <v>1419</v>
      </c>
      <c r="AN855" t="s">
        <v>1420</v>
      </c>
      <c r="AO855" t="s">
        <v>12166</v>
      </c>
      <c r="AP855" t="s">
        <v>12167</v>
      </c>
      <c r="AQ855" t="s">
        <v>74</v>
      </c>
      <c r="AR855" t="s">
        <v>12168</v>
      </c>
      <c r="AS855" t="s">
        <v>12169</v>
      </c>
      <c r="AT855" t="s">
        <v>11880</v>
      </c>
      <c r="AU855">
        <v>2004</v>
      </c>
      <c r="AV855">
        <v>111</v>
      </c>
      <c r="AW855">
        <v>2</v>
      </c>
      <c r="AX855" t="s">
        <v>74</v>
      </c>
      <c r="AY855" t="s">
        <v>74</v>
      </c>
      <c r="AZ855" t="s">
        <v>74</v>
      </c>
      <c r="BA855" t="s">
        <v>74</v>
      </c>
      <c r="BB855">
        <v>97</v>
      </c>
      <c r="BC855">
        <v>109</v>
      </c>
      <c r="BD855" t="s">
        <v>74</v>
      </c>
      <c r="BE855" t="s">
        <v>12170</v>
      </c>
      <c r="BF855" t="str">
        <f>HYPERLINK("http://dx.doi.org/10.1111/j.0013-8703.2004.00148.x","http://dx.doi.org/10.1111/j.0013-8703.2004.00148.x")</f>
        <v>http://dx.doi.org/10.1111/j.0013-8703.2004.00148.x</v>
      </c>
      <c r="BG855" t="s">
        <v>74</v>
      </c>
      <c r="BH855" t="s">
        <v>74</v>
      </c>
      <c r="BI855">
        <v>13</v>
      </c>
      <c r="BJ855" t="s">
        <v>6165</v>
      </c>
      <c r="BK855" t="s">
        <v>139</v>
      </c>
      <c r="BL855" t="s">
        <v>6165</v>
      </c>
      <c r="BM855" t="s">
        <v>12171</v>
      </c>
      <c r="BN855" t="s">
        <v>74</v>
      </c>
      <c r="BO855" t="s">
        <v>74</v>
      </c>
      <c r="BP855" t="s">
        <v>74</v>
      </c>
      <c r="BQ855" t="s">
        <v>74</v>
      </c>
      <c r="BR855" t="s">
        <v>98</v>
      </c>
      <c r="BS855" t="s">
        <v>12172</v>
      </c>
      <c r="BT855" t="str">
        <f>HYPERLINK("https%3A%2F%2Fwww.webofscience.com%2Fwos%2Fwoscc%2Ffull-record%2FWOS:000221011200002","View Full Record in Web of Science")</f>
        <v>View Full Record in Web of Science</v>
      </c>
    </row>
    <row r="856" spans="1:72" x14ac:dyDescent="0.15">
      <c r="A856" t="s">
        <v>122</v>
      </c>
      <c r="B856" t="s">
        <v>12173</v>
      </c>
      <c r="C856" t="s">
        <v>74</v>
      </c>
      <c r="D856" t="s">
        <v>74</v>
      </c>
      <c r="E856" t="s">
        <v>74</v>
      </c>
      <c r="F856" t="s">
        <v>12173</v>
      </c>
      <c r="G856" t="s">
        <v>74</v>
      </c>
      <c r="H856" t="s">
        <v>74</v>
      </c>
      <c r="I856" t="s">
        <v>12174</v>
      </c>
      <c r="J856" t="s">
        <v>12175</v>
      </c>
      <c r="K856" t="s">
        <v>74</v>
      </c>
      <c r="L856" t="s">
        <v>74</v>
      </c>
      <c r="M856" t="s">
        <v>79</v>
      </c>
      <c r="N856" t="s">
        <v>1129</v>
      </c>
      <c r="O856" t="s">
        <v>12176</v>
      </c>
      <c r="P856" t="s">
        <v>12177</v>
      </c>
      <c r="Q856" t="s">
        <v>12178</v>
      </c>
      <c r="R856" t="s">
        <v>74</v>
      </c>
      <c r="S856" t="s">
        <v>74</v>
      </c>
      <c r="T856" t="s">
        <v>12179</v>
      </c>
      <c r="U856" t="s">
        <v>12180</v>
      </c>
      <c r="V856" t="s">
        <v>12181</v>
      </c>
      <c r="W856" t="s">
        <v>12182</v>
      </c>
      <c r="X856" t="s">
        <v>12183</v>
      </c>
      <c r="Y856" t="s">
        <v>12184</v>
      </c>
      <c r="Z856" t="s">
        <v>12185</v>
      </c>
      <c r="AA856" t="s">
        <v>74</v>
      </c>
      <c r="AB856" t="s">
        <v>12186</v>
      </c>
      <c r="AC856" t="s">
        <v>74</v>
      </c>
      <c r="AD856" t="s">
        <v>74</v>
      </c>
      <c r="AE856" t="s">
        <v>74</v>
      </c>
      <c r="AF856" t="s">
        <v>74</v>
      </c>
      <c r="AG856">
        <v>30</v>
      </c>
      <c r="AH856">
        <v>28</v>
      </c>
      <c r="AI856">
        <v>36</v>
      </c>
      <c r="AJ856">
        <v>1</v>
      </c>
      <c r="AK856">
        <v>10</v>
      </c>
      <c r="AL856" t="s">
        <v>12187</v>
      </c>
      <c r="AM856" t="s">
        <v>12188</v>
      </c>
      <c r="AN856" t="s">
        <v>12189</v>
      </c>
      <c r="AO856" t="s">
        <v>12190</v>
      </c>
      <c r="AP856" t="s">
        <v>12191</v>
      </c>
      <c r="AQ856" t="s">
        <v>74</v>
      </c>
      <c r="AR856" t="s">
        <v>12192</v>
      </c>
      <c r="AS856" t="s">
        <v>12193</v>
      </c>
      <c r="AT856" t="s">
        <v>11880</v>
      </c>
      <c r="AU856">
        <v>2004</v>
      </c>
      <c r="AV856">
        <v>36</v>
      </c>
      <c r="AW856">
        <v>3</v>
      </c>
      <c r="AX856" t="s">
        <v>74</v>
      </c>
      <c r="AY856" t="s">
        <v>74</v>
      </c>
      <c r="AZ856" t="s">
        <v>74</v>
      </c>
      <c r="BA856" t="s">
        <v>74</v>
      </c>
      <c r="BB856">
        <v>402</v>
      </c>
      <c r="BC856">
        <v>423</v>
      </c>
      <c r="BD856" t="s">
        <v>74</v>
      </c>
      <c r="BE856" t="s">
        <v>12194</v>
      </c>
      <c r="BF856" t="str">
        <f>HYPERLINK("http://dx.doi.org/10.1177/0013916503262217","http://dx.doi.org/10.1177/0013916503262217")</f>
        <v>http://dx.doi.org/10.1177/0013916503262217</v>
      </c>
      <c r="BG856" t="s">
        <v>74</v>
      </c>
      <c r="BH856" t="s">
        <v>74</v>
      </c>
      <c r="BI856">
        <v>22</v>
      </c>
      <c r="BJ856" t="s">
        <v>12195</v>
      </c>
      <c r="BK856" t="s">
        <v>12196</v>
      </c>
      <c r="BL856" t="s">
        <v>12197</v>
      </c>
      <c r="BM856" t="s">
        <v>12198</v>
      </c>
      <c r="BN856" t="s">
        <v>74</v>
      </c>
      <c r="BO856" t="s">
        <v>74</v>
      </c>
      <c r="BP856" t="s">
        <v>74</v>
      </c>
      <c r="BQ856" t="s">
        <v>74</v>
      </c>
      <c r="BR856" t="s">
        <v>98</v>
      </c>
      <c r="BS856" t="s">
        <v>12199</v>
      </c>
      <c r="BT856" t="str">
        <f>HYPERLINK("https%3A%2F%2Fwww.webofscience.com%2Fwos%2Fwoscc%2Ffull-record%2FWOS:000220764000005","View Full Record in Web of Science")</f>
        <v>View Full Record in Web of Science</v>
      </c>
    </row>
    <row r="857" spans="1:72" x14ac:dyDescent="0.15">
      <c r="A857" t="s">
        <v>122</v>
      </c>
      <c r="B857" t="s">
        <v>12200</v>
      </c>
      <c r="C857" t="s">
        <v>74</v>
      </c>
      <c r="D857" t="s">
        <v>74</v>
      </c>
      <c r="E857" t="s">
        <v>74</v>
      </c>
      <c r="F857" t="s">
        <v>12200</v>
      </c>
      <c r="G857" t="s">
        <v>74</v>
      </c>
      <c r="H857" t="s">
        <v>74</v>
      </c>
      <c r="I857" t="s">
        <v>12201</v>
      </c>
      <c r="J857" t="s">
        <v>12202</v>
      </c>
      <c r="K857" t="s">
        <v>74</v>
      </c>
      <c r="L857" t="s">
        <v>74</v>
      </c>
      <c r="M857" t="s">
        <v>79</v>
      </c>
      <c r="N857" t="s">
        <v>1129</v>
      </c>
      <c r="O857" t="s">
        <v>12203</v>
      </c>
      <c r="P857" t="s">
        <v>12204</v>
      </c>
      <c r="Q857" t="s">
        <v>12205</v>
      </c>
      <c r="R857" t="s">
        <v>74</v>
      </c>
      <c r="S857" t="s">
        <v>74</v>
      </c>
      <c r="T857" t="s">
        <v>12206</v>
      </c>
      <c r="U857" t="s">
        <v>12207</v>
      </c>
      <c r="V857" t="s">
        <v>12208</v>
      </c>
      <c r="W857" t="s">
        <v>12209</v>
      </c>
      <c r="X857" t="s">
        <v>12210</v>
      </c>
      <c r="Y857" t="s">
        <v>12211</v>
      </c>
      <c r="Z857" t="s">
        <v>12212</v>
      </c>
      <c r="AA857" t="s">
        <v>74</v>
      </c>
      <c r="AB857" t="s">
        <v>74</v>
      </c>
      <c r="AC857" t="s">
        <v>74</v>
      </c>
      <c r="AD857" t="s">
        <v>74</v>
      </c>
      <c r="AE857" t="s">
        <v>74</v>
      </c>
      <c r="AF857" t="s">
        <v>74</v>
      </c>
      <c r="AG857">
        <v>28</v>
      </c>
      <c r="AH857">
        <v>21</v>
      </c>
      <c r="AI857">
        <v>25</v>
      </c>
      <c r="AJ857">
        <v>1</v>
      </c>
      <c r="AK857">
        <v>6</v>
      </c>
      <c r="AL857" t="s">
        <v>10805</v>
      </c>
      <c r="AM857" t="s">
        <v>375</v>
      </c>
      <c r="AN857" t="s">
        <v>885</v>
      </c>
      <c r="AO857" t="s">
        <v>12213</v>
      </c>
      <c r="AP857" t="s">
        <v>74</v>
      </c>
      <c r="AQ857" t="s">
        <v>74</v>
      </c>
      <c r="AR857" t="s">
        <v>12214</v>
      </c>
      <c r="AS857" t="s">
        <v>12215</v>
      </c>
      <c r="AT857" t="s">
        <v>11880</v>
      </c>
      <c r="AU857">
        <v>2004</v>
      </c>
      <c r="AV857">
        <v>60</v>
      </c>
      <c r="AW857">
        <v>1</v>
      </c>
      <c r="AX857" t="s">
        <v>74</v>
      </c>
      <c r="AY857" t="s">
        <v>74</v>
      </c>
      <c r="AZ857" t="s">
        <v>74</v>
      </c>
      <c r="BA857" t="s">
        <v>74</v>
      </c>
      <c r="BB857">
        <v>11</v>
      </c>
      <c r="BC857">
        <v>22</v>
      </c>
      <c r="BD857" t="s">
        <v>74</v>
      </c>
      <c r="BE857" t="s">
        <v>12216</v>
      </c>
      <c r="BF857" t="str">
        <f>HYPERLINK("http://dx.doi.org/10.1016/j.ecss.2003.11.016","http://dx.doi.org/10.1016/j.ecss.2003.11.016")</f>
        <v>http://dx.doi.org/10.1016/j.ecss.2003.11.016</v>
      </c>
      <c r="BG857" t="s">
        <v>74</v>
      </c>
      <c r="BH857" t="s">
        <v>74</v>
      </c>
      <c r="BI857">
        <v>12</v>
      </c>
      <c r="BJ857" t="s">
        <v>1709</v>
      </c>
      <c r="BK857" t="s">
        <v>1150</v>
      </c>
      <c r="BL857" t="s">
        <v>1709</v>
      </c>
      <c r="BM857" t="s">
        <v>12217</v>
      </c>
      <c r="BN857" t="s">
        <v>74</v>
      </c>
      <c r="BO857" t="s">
        <v>74</v>
      </c>
      <c r="BP857" t="s">
        <v>74</v>
      </c>
      <c r="BQ857" t="s">
        <v>74</v>
      </c>
      <c r="BR857" t="s">
        <v>98</v>
      </c>
      <c r="BS857" t="s">
        <v>12218</v>
      </c>
      <c r="BT857" t="str">
        <f>HYPERLINK("https%3A%2F%2Fwww.webofscience.com%2Fwos%2Fwoscc%2Ffull-record%2FWOS:000221391100002","View Full Record in Web of Science")</f>
        <v>View Full Record in Web of Science</v>
      </c>
    </row>
    <row r="858" spans="1:72" x14ac:dyDescent="0.15">
      <c r="A858" t="s">
        <v>122</v>
      </c>
      <c r="B858" t="s">
        <v>10882</v>
      </c>
      <c r="C858" t="s">
        <v>74</v>
      </c>
      <c r="D858" t="s">
        <v>74</v>
      </c>
      <c r="E858" t="s">
        <v>74</v>
      </c>
      <c r="F858" t="s">
        <v>10882</v>
      </c>
      <c r="G858" t="s">
        <v>74</v>
      </c>
      <c r="H858" t="s">
        <v>74</v>
      </c>
      <c r="I858" t="s">
        <v>12219</v>
      </c>
      <c r="J858" t="s">
        <v>10884</v>
      </c>
      <c r="K858" t="s">
        <v>74</v>
      </c>
      <c r="L858" t="s">
        <v>74</v>
      </c>
      <c r="M858" t="s">
        <v>79</v>
      </c>
      <c r="N858" t="s">
        <v>126</v>
      </c>
      <c r="O858" t="s">
        <v>74</v>
      </c>
      <c r="P858" t="s">
        <v>74</v>
      </c>
      <c r="Q858" t="s">
        <v>74</v>
      </c>
      <c r="R858" t="s">
        <v>74</v>
      </c>
      <c r="S858" t="s">
        <v>74</v>
      </c>
      <c r="T858" t="s">
        <v>12220</v>
      </c>
      <c r="U858" t="s">
        <v>12221</v>
      </c>
      <c r="V858" t="s">
        <v>12222</v>
      </c>
      <c r="W858" t="s">
        <v>12223</v>
      </c>
      <c r="X858" t="s">
        <v>12224</v>
      </c>
      <c r="Y858" t="s">
        <v>12225</v>
      </c>
      <c r="Z858" t="s">
        <v>12226</v>
      </c>
      <c r="AA858" t="s">
        <v>10886</v>
      </c>
      <c r="AB858" t="s">
        <v>12227</v>
      </c>
      <c r="AC858" t="s">
        <v>74</v>
      </c>
      <c r="AD858" t="s">
        <v>74</v>
      </c>
      <c r="AE858" t="s">
        <v>74</v>
      </c>
      <c r="AF858" t="s">
        <v>74</v>
      </c>
      <c r="AG858">
        <v>39</v>
      </c>
      <c r="AH858">
        <v>49</v>
      </c>
      <c r="AI858">
        <v>54</v>
      </c>
      <c r="AJ858">
        <v>0</v>
      </c>
      <c r="AK858">
        <v>5</v>
      </c>
      <c r="AL858" t="s">
        <v>1418</v>
      </c>
      <c r="AM858" t="s">
        <v>1419</v>
      </c>
      <c r="AN858" t="s">
        <v>1420</v>
      </c>
      <c r="AO858" t="s">
        <v>10887</v>
      </c>
      <c r="AP858" t="s">
        <v>74</v>
      </c>
      <c r="AQ858" t="s">
        <v>74</v>
      </c>
      <c r="AR858" t="s">
        <v>10888</v>
      </c>
      <c r="AS858" t="s">
        <v>10889</v>
      </c>
      <c r="AT858" t="s">
        <v>11880</v>
      </c>
      <c r="AU858">
        <v>2004</v>
      </c>
      <c r="AV858">
        <v>271</v>
      </c>
      <c r="AW858">
        <v>9</v>
      </c>
      <c r="AX858" t="s">
        <v>74</v>
      </c>
      <c r="AY858" t="s">
        <v>74</v>
      </c>
      <c r="AZ858" t="s">
        <v>74</v>
      </c>
      <c r="BA858" t="s">
        <v>74</v>
      </c>
      <c r="BB858">
        <v>1651</v>
      </c>
      <c r="BC858">
        <v>1659</v>
      </c>
      <c r="BD858" t="s">
        <v>74</v>
      </c>
      <c r="BE858" t="s">
        <v>12228</v>
      </c>
      <c r="BF858" t="str">
        <f>HYPERLINK("http://dx.doi.org/10.1111/j.1432-1033.2004.04054.x","http://dx.doi.org/10.1111/j.1432-1033.2004.04054.x")</f>
        <v>http://dx.doi.org/10.1111/j.1432-1033.2004.04054.x</v>
      </c>
      <c r="BG858" t="s">
        <v>74</v>
      </c>
      <c r="BH858" t="s">
        <v>74</v>
      </c>
      <c r="BI858">
        <v>9</v>
      </c>
      <c r="BJ858" t="s">
        <v>1214</v>
      </c>
      <c r="BK858" t="s">
        <v>139</v>
      </c>
      <c r="BL858" t="s">
        <v>1214</v>
      </c>
      <c r="BM858" t="s">
        <v>12229</v>
      </c>
      <c r="BN858">
        <v>15096204</v>
      </c>
      <c r="BO858" t="s">
        <v>273</v>
      </c>
      <c r="BP858" t="s">
        <v>74</v>
      </c>
      <c r="BQ858" t="s">
        <v>74</v>
      </c>
      <c r="BR858" t="s">
        <v>98</v>
      </c>
      <c r="BS858" t="s">
        <v>12230</v>
      </c>
      <c r="BT858" t="str">
        <f>HYPERLINK("https%3A%2F%2Fwww.webofscience.com%2Fwos%2Fwoscc%2Ffull-record%2FWOS:000220886100008","View Full Record in Web of Science")</f>
        <v>View Full Record in Web of Science</v>
      </c>
    </row>
    <row r="859" spans="1:72" x14ac:dyDescent="0.15">
      <c r="A859" t="s">
        <v>122</v>
      </c>
      <c r="B859" t="s">
        <v>12231</v>
      </c>
      <c r="C859" t="s">
        <v>74</v>
      </c>
      <c r="D859" t="s">
        <v>74</v>
      </c>
      <c r="E859" t="s">
        <v>74</v>
      </c>
      <c r="F859" t="s">
        <v>12231</v>
      </c>
      <c r="G859" t="s">
        <v>74</v>
      </c>
      <c r="H859" t="s">
        <v>74</v>
      </c>
      <c r="I859" t="s">
        <v>12232</v>
      </c>
      <c r="J859" t="s">
        <v>12233</v>
      </c>
      <c r="K859" t="s">
        <v>74</v>
      </c>
      <c r="L859" t="s">
        <v>74</v>
      </c>
      <c r="M859" t="s">
        <v>79</v>
      </c>
      <c r="N859" t="s">
        <v>126</v>
      </c>
      <c r="O859" t="s">
        <v>74</v>
      </c>
      <c r="P859" t="s">
        <v>74</v>
      </c>
      <c r="Q859" t="s">
        <v>74</v>
      </c>
      <c r="R859" t="s">
        <v>74</v>
      </c>
      <c r="S859" t="s">
        <v>74</v>
      </c>
      <c r="T859" t="s">
        <v>12234</v>
      </c>
      <c r="U859" t="s">
        <v>12235</v>
      </c>
      <c r="V859" t="s">
        <v>12236</v>
      </c>
      <c r="W859" t="s">
        <v>12237</v>
      </c>
      <c r="X859" t="s">
        <v>12238</v>
      </c>
      <c r="Y859" t="s">
        <v>12239</v>
      </c>
      <c r="Z859" t="s">
        <v>7869</v>
      </c>
      <c r="AA859" t="s">
        <v>74</v>
      </c>
      <c r="AB859" t="s">
        <v>74</v>
      </c>
      <c r="AC859" t="s">
        <v>74</v>
      </c>
      <c r="AD859" t="s">
        <v>74</v>
      </c>
      <c r="AE859" t="s">
        <v>74</v>
      </c>
      <c r="AF859" t="s">
        <v>74</v>
      </c>
      <c r="AG859">
        <v>53</v>
      </c>
      <c r="AH859">
        <v>68</v>
      </c>
      <c r="AI859">
        <v>76</v>
      </c>
      <c r="AJ859">
        <v>1</v>
      </c>
      <c r="AK859">
        <v>18</v>
      </c>
      <c r="AL859" t="s">
        <v>1644</v>
      </c>
      <c r="AM859" t="s">
        <v>1645</v>
      </c>
      <c r="AN859" t="s">
        <v>1646</v>
      </c>
      <c r="AO859" t="s">
        <v>12240</v>
      </c>
      <c r="AP859" t="s">
        <v>12241</v>
      </c>
      <c r="AQ859" t="s">
        <v>74</v>
      </c>
      <c r="AR859" t="s">
        <v>12242</v>
      </c>
      <c r="AS859" t="s">
        <v>12243</v>
      </c>
      <c r="AT859" t="s">
        <v>11880</v>
      </c>
      <c r="AU859">
        <v>2004</v>
      </c>
      <c r="AV859">
        <v>39</v>
      </c>
      <c r="AW859">
        <v>2</v>
      </c>
      <c r="AX859" t="s">
        <v>74</v>
      </c>
      <c r="AY859" t="s">
        <v>74</v>
      </c>
      <c r="AZ859" t="s">
        <v>74</v>
      </c>
      <c r="BA859" t="s">
        <v>74</v>
      </c>
      <c r="BB859">
        <v>161</v>
      </c>
      <c r="BC859">
        <v>171</v>
      </c>
      <c r="BD859" t="s">
        <v>74</v>
      </c>
      <c r="BE859" t="s">
        <v>12244</v>
      </c>
      <c r="BF859" t="str">
        <f>HYPERLINK("http://dx.doi.org/10.1080/0967026042000202127","http://dx.doi.org/10.1080/0967026042000202127")</f>
        <v>http://dx.doi.org/10.1080/0967026042000202127</v>
      </c>
      <c r="BG859" t="s">
        <v>74</v>
      </c>
      <c r="BH859" t="s">
        <v>74</v>
      </c>
      <c r="BI859">
        <v>11</v>
      </c>
      <c r="BJ859" t="s">
        <v>1672</v>
      </c>
      <c r="BK859" t="s">
        <v>139</v>
      </c>
      <c r="BL859" t="s">
        <v>1672</v>
      </c>
      <c r="BM859" t="s">
        <v>12245</v>
      </c>
      <c r="BN859" t="s">
        <v>74</v>
      </c>
      <c r="BO859" t="s">
        <v>988</v>
      </c>
      <c r="BP859" t="s">
        <v>74</v>
      </c>
      <c r="BQ859" t="s">
        <v>74</v>
      </c>
      <c r="BR859" t="s">
        <v>98</v>
      </c>
      <c r="BS859" t="s">
        <v>12246</v>
      </c>
      <c r="BT859" t="str">
        <f>HYPERLINK("https%3A%2F%2Fwww.webofscience.com%2Fwos%2Fwoscc%2Ffull-record%2FWOS:000221762700006","View Full Record in Web of Science")</f>
        <v>View Full Record in Web of Science</v>
      </c>
    </row>
    <row r="860" spans="1:72" x14ac:dyDescent="0.15">
      <c r="A860" t="s">
        <v>122</v>
      </c>
      <c r="B860" t="s">
        <v>12247</v>
      </c>
      <c r="C860" t="s">
        <v>74</v>
      </c>
      <c r="D860" t="s">
        <v>74</v>
      </c>
      <c r="E860" t="s">
        <v>74</v>
      </c>
      <c r="F860" t="s">
        <v>12247</v>
      </c>
      <c r="G860" t="s">
        <v>74</v>
      </c>
      <c r="H860" t="s">
        <v>74</v>
      </c>
      <c r="I860" t="s">
        <v>12248</v>
      </c>
      <c r="J860" t="s">
        <v>2206</v>
      </c>
      <c r="K860" t="s">
        <v>74</v>
      </c>
      <c r="L860" t="s">
        <v>74</v>
      </c>
      <c r="M860" t="s">
        <v>79</v>
      </c>
      <c r="N860" t="s">
        <v>126</v>
      </c>
      <c r="O860" t="s">
        <v>74</v>
      </c>
      <c r="P860" t="s">
        <v>74</v>
      </c>
      <c r="Q860" t="s">
        <v>74</v>
      </c>
      <c r="R860" t="s">
        <v>74</v>
      </c>
      <c r="S860" t="s">
        <v>74</v>
      </c>
      <c r="T860" t="s">
        <v>12249</v>
      </c>
      <c r="U860" t="s">
        <v>12250</v>
      </c>
      <c r="V860" t="s">
        <v>12251</v>
      </c>
      <c r="W860" t="s">
        <v>12252</v>
      </c>
      <c r="X860" t="s">
        <v>12253</v>
      </c>
      <c r="Y860" t="s">
        <v>12254</v>
      </c>
      <c r="Z860" t="s">
        <v>12255</v>
      </c>
      <c r="AA860" t="s">
        <v>74</v>
      </c>
      <c r="AB860" t="s">
        <v>74</v>
      </c>
      <c r="AC860" t="s">
        <v>74</v>
      </c>
      <c r="AD860" t="s">
        <v>74</v>
      </c>
      <c r="AE860" t="s">
        <v>74</v>
      </c>
      <c r="AF860" t="s">
        <v>74</v>
      </c>
      <c r="AG860">
        <v>36</v>
      </c>
      <c r="AH860">
        <v>62</v>
      </c>
      <c r="AI860">
        <v>67</v>
      </c>
      <c r="AJ860">
        <v>1</v>
      </c>
      <c r="AK860">
        <v>14</v>
      </c>
      <c r="AL860" t="s">
        <v>196</v>
      </c>
      <c r="AM860" t="s">
        <v>197</v>
      </c>
      <c r="AN860" t="s">
        <v>198</v>
      </c>
      <c r="AO860" t="s">
        <v>2216</v>
      </c>
      <c r="AP860" t="s">
        <v>2217</v>
      </c>
      <c r="AQ860" t="s">
        <v>74</v>
      </c>
      <c r="AR860" t="s">
        <v>2218</v>
      </c>
      <c r="AS860" t="s">
        <v>2219</v>
      </c>
      <c r="AT860" t="s">
        <v>12256</v>
      </c>
      <c r="AU860">
        <v>2004</v>
      </c>
      <c r="AV860">
        <v>48</v>
      </c>
      <c r="AW860">
        <v>2</v>
      </c>
      <c r="AX860" t="s">
        <v>74</v>
      </c>
      <c r="AY860" t="s">
        <v>74</v>
      </c>
      <c r="AZ860" t="s">
        <v>74</v>
      </c>
      <c r="BA860" t="s">
        <v>74</v>
      </c>
      <c r="BB860">
        <v>157</v>
      </c>
      <c r="BC860">
        <v>167</v>
      </c>
      <c r="BD860" t="s">
        <v>74</v>
      </c>
      <c r="BE860" t="s">
        <v>12257</v>
      </c>
      <c r="BF860" t="str">
        <f>HYPERLINK("http://dx.doi.org/10.1016/j.femsec.2004.01.001","http://dx.doi.org/10.1016/j.femsec.2004.01.001")</f>
        <v>http://dx.doi.org/10.1016/j.femsec.2004.01.001</v>
      </c>
      <c r="BG860" t="s">
        <v>74</v>
      </c>
      <c r="BH860" t="s">
        <v>74</v>
      </c>
      <c r="BI860">
        <v>11</v>
      </c>
      <c r="BJ860" t="s">
        <v>1536</v>
      </c>
      <c r="BK860" t="s">
        <v>139</v>
      </c>
      <c r="BL860" t="s">
        <v>1536</v>
      </c>
      <c r="BM860" t="s">
        <v>12258</v>
      </c>
      <c r="BN860">
        <v>19712399</v>
      </c>
      <c r="BO860" t="s">
        <v>74</v>
      </c>
      <c r="BP860" t="s">
        <v>74</v>
      </c>
      <c r="BQ860" t="s">
        <v>74</v>
      </c>
      <c r="BR860" t="s">
        <v>98</v>
      </c>
      <c r="BS860" t="s">
        <v>12259</v>
      </c>
      <c r="BT860" t="str">
        <f>HYPERLINK("https%3A%2F%2Fwww.webofscience.com%2Fwos%2Fwoscc%2Ffull-record%2FWOS:000221441000005","View Full Record in Web of Science")</f>
        <v>View Full Record in Web of Science</v>
      </c>
    </row>
    <row r="861" spans="1:72" x14ac:dyDescent="0.15">
      <c r="A861" t="s">
        <v>122</v>
      </c>
      <c r="B861" t="s">
        <v>12260</v>
      </c>
      <c r="C861" t="s">
        <v>74</v>
      </c>
      <c r="D861" t="s">
        <v>74</v>
      </c>
      <c r="E861" t="s">
        <v>74</v>
      </c>
      <c r="F861" t="s">
        <v>12260</v>
      </c>
      <c r="G861" t="s">
        <v>74</v>
      </c>
      <c r="H861" t="s">
        <v>74</v>
      </c>
      <c r="I861" t="s">
        <v>12261</v>
      </c>
      <c r="J861" t="s">
        <v>12262</v>
      </c>
      <c r="K861" t="s">
        <v>74</v>
      </c>
      <c r="L861" t="s">
        <v>74</v>
      </c>
      <c r="M861" t="s">
        <v>79</v>
      </c>
      <c r="N861" t="s">
        <v>126</v>
      </c>
      <c r="O861" t="s">
        <v>74</v>
      </c>
      <c r="P861" t="s">
        <v>74</v>
      </c>
      <c r="Q861" t="s">
        <v>74</v>
      </c>
      <c r="R861" t="s">
        <v>74</v>
      </c>
      <c r="S861" t="s">
        <v>74</v>
      </c>
      <c r="T861" t="s">
        <v>12263</v>
      </c>
      <c r="U861" t="s">
        <v>12264</v>
      </c>
      <c r="V861" t="s">
        <v>12265</v>
      </c>
      <c r="W861" t="s">
        <v>12266</v>
      </c>
      <c r="X861" t="s">
        <v>12267</v>
      </c>
      <c r="Y861" t="s">
        <v>12268</v>
      </c>
      <c r="Z861" t="s">
        <v>12269</v>
      </c>
      <c r="AA861" t="s">
        <v>12270</v>
      </c>
      <c r="AB861" t="s">
        <v>74</v>
      </c>
      <c r="AC861" t="s">
        <v>74</v>
      </c>
      <c r="AD861" t="s">
        <v>74</v>
      </c>
      <c r="AE861" t="s">
        <v>74</v>
      </c>
      <c r="AF861" t="s">
        <v>74</v>
      </c>
      <c r="AG861">
        <v>34</v>
      </c>
      <c r="AH861">
        <v>2</v>
      </c>
      <c r="AI861">
        <v>2</v>
      </c>
      <c r="AJ861">
        <v>2</v>
      </c>
      <c r="AK861">
        <v>6</v>
      </c>
      <c r="AL861" t="s">
        <v>12271</v>
      </c>
      <c r="AM861" t="s">
        <v>12272</v>
      </c>
      <c r="AN861" t="s">
        <v>12273</v>
      </c>
      <c r="AO861" t="s">
        <v>12274</v>
      </c>
      <c r="AP861" t="s">
        <v>74</v>
      </c>
      <c r="AQ861" t="s">
        <v>74</v>
      </c>
      <c r="AR861" t="s">
        <v>12275</v>
      </c>
      <c r="AS861" t="s">
        <v>12276</v>
      </c>
      <c r="AT861" t="s">
        <v>11880</v>
      </c>
      <c r="AU861">
        <v>2004</v>
      </c>
      <c r="AV861">
        <v>10</v>
      </c>
      <c r="AW861">
        <v>2</v>
      </c>
      <c r="AX861" t="s">
        <v>74</v>
      </c>
      <c r="AY861" t="s">
        <v>74</v>
      </c>
      <c r="AZ861" t="s">
        <v>74</v>
      </c>
      <c r="BA861" t="s">
        <v>74</v>
      </c>
      <c r="BB861">
        <v>132</v>
      </c>
      <c r="BC861">
        <v>136</v>
      </c>
      <c r="BD861" t="s">
        <v>74</v>
      </c>
      <c r="BE861" t="s">
        <v>12277</v>
      </c>
      <c r="BF861" t="str">
        <f>HYPERLINK("http://dx.doi.org/10.3136/fstr.10.132","http://dx.doi.org/10.3136/fstr.10.132")</f>
        <v>http://dx.doi.org/10.3136/fstr.10.132</v>
      </c>
      <c r="BG861" t="s">
        <v>74</v>
      </c>
      <c r="BH861" t="s">
        <v>74</v>
      </c>
      <c r="BI861">
        <v>5</v>
      </c>
      <c r="BJ861" t="s">
        <v>12278</v>
      </c>
      <c r="BK861" t="s">
        <v>139</v>
      </c>
      <c r="BL861" t="s">
        <v>12278</v>
      </c>
      <c r="BM861" t="s">
        <v>12279</v>
      </c>
      <c r="BN861" t="s">
        <v>74</v>
      </c>
      <c r="BO861" t="s">
        <v>273</v>
      </c>
      <c r="BP861" t="s">
        <v>74</v>
      </c>
      <c r="BQ861" t="s">
        <v>74</v>
      </c>
      <c r="BR861" t="s">
        <v>98</v>
      </c>
      <c r="BS861" t="s">
        <v>12280</v>
      </c>
      <c r="BT861" t="str">
        <f>HYPERLINK("https%3A%2F%2Fwww.webofscience.com%2Fwos%2Fwoscc%2Ffull-record%2FWOS:000224196100006","View Full Record in Web of Science")</f>
        <v>View Full Record in Web of Science</v>
      </c>
    </row>
    <row r="862" spans="1:72" x14ac:dyDescent="0.15">
      <c r="A862" t="s">
        <v>122</v>
      </c>
      <c r="B862" t="s">
        <v>12281</v>
      </c>
      <c r="C862" t="s">
        <v>74</v>
      </c>
      <c r="D862" t="s">
        <v>74</v>
      </c>
      <c r="E862" t="s">
        <v>74</v>
      </c>
      <c r="F862" t="s">
        <v>12281</v>
      </c>
      <c r="G862" t="s">
        <v>74</v>
      </c>
      <c r="H862" t="s">
        <v>74</v>
      </c>
      <c r="I862" t="s">
        <v>12282</v>
      </c>
      <c r="J862" t="s">
        <v>3190</v>
      </c>
      <c r="K862" t="s">
        <v>74</v>
      </c>
      <c r="L862" t="s">
        <v>74</v>
      </c>
      <c r="M862" t="s">
        <v>79</v>
      </c>
      <c r="N862" t="s">
        <v>126</v>
      </c>
      <c r="O862" t="s">
        <v>74</v>
      </c>
      <c r="P862" t="s">
        <v>74</v>
      </c>
      <c r="Q862" t="s">
        <v>74</v>
      </c>
      <c r="R862" t="s">
        <v>74</v>
      </c>
      <c r="S862" t="s">
        <v>74</v>
      </c>
      <c r="T862" t="s">
        <v>12283</v>
      </c>
      <c r="U862" t="s">
        <v>12284</v>
      </c>
      <c r="V862" t="s">
        <v>12285</v>
      </c>
      <c r="W862" t="s">
        <v>12286</v>
      </c>
      <c r="X862" t="s">
        <v>12287</v>
      </c>
      <c r="Y862" t="s">
        <v>2548</v>
      </c>
      <c r="Z862" t="s">
        <v>12288</v>
      </c>
      <c r="AA862" t="s">
        <v>12289</v>
      </c>
      <c r="AB862" t="s">
        <v>12290</v>
      </c>
      <c r="AC862" t="s">
        <v>74</v>
      </c>
      <c r="AD862" t="s">
        <v>74</v>
      </c>
      <c r="AE862" t="s">
        <v>74</v>
      </c>
      <c r="AF862" t="s">
        <v>74</v>
      </c>
      <c r="AG862">
        <v>66</v>
      </c>
      <c r="AH862">
        <v>35</v>
      </c>
      <c r="AI862">
        <v>36</v>
      </c>
      <c r="AJ862">
        <v>0</v>
      </c>
      <c r="AK862">
        <v>10</v>
      </c>
      <c r="AL862" t="s">
        <v>3199</v>
      </c>
      <c r="AM862" t="s">
        <v>2601</v>
      </c>
      <c r="AN862" t="s">
        <v>3200</v>
      </c>
      <c r="AO862" t="s">
        <v>3201</v>
      </c>
      <c r="AP862" t="s">
        <v>3202</v>
      </c>
      <c r="AQ862" t="s">
        <v>74</v>
      </c>
      <c r="AR862" t="s">
        <v>3203</v>
      </c>
      <c r="AS862" t="s">
        <v>3204</v>
      </c>
      <c r="AT862" t="s">
        <v>12291</v>
      </c>
      <c r="AU862">
        <v>2004</v>
      </c>
      <c r="AV862">
        <v>116</v>
      </c>
      <c r="AW862" t="s">
        <v>6508</v>
      </c>
      <c r="AX862" t="s">
        <v>74</v>
      </c>
      <c r="AY862" t="s">
        <v>74</v>
      </c>
      <c r="AZ862" t="s">
        <v>74</v>
      </c>
      <c r="BA862" t="s">
        <v>74</v>
      </c>
      <c r="BB862">
        <v>619</v>
      </c>
      <c r="BC862">
        <v>636</v>
      </c>
      <c r="BD862" t="s">
        <v>74</v>
      </c>
      <c r="BE862" t="s">
        <v>12292</v>
      </c>
      <c r="BF862" t="str">
        <f>HYPERLINK("http://dx.doi.org/10.1130/B25170.1","http://dx.doi.org/10.1130/B25170.1")</f>
        <v>http://dx.doi.org/10.1130/B25170.1</v>
      </c>
      <c r="BG862" t="s">
        <v>74</v>
      </c>
      <c r="BH862" t="s">
        <v>74</v>
      </c>
      <c r="BI862">
        <v>18</v>
      </c>
      <c r="BJ862" t="s">
        <v>248</v>
      </c>
      <c r="BK862" t="s">
        <v>139</v>
      </c>
      <c r="BL862" t="s">
        <v>249</v>
      </c>
      <c r="BM862" t="s">
        <v>12293</v>
      </c>
      <c r="BN862" t="s">
        <v>74</v>
      </c>
      <c r="BO862" t="s">
        <v>74</v>
      </c>
      <c r="BP862" t="s">
        <v>74</v>
      </c>
      <c r="BQ862" t="s">
        <v>74</v>
      </c>
      <c r="BR862" t="s">
        <v>98</v>
      </c>
      <c r="BS862" t="s">
        <v>12294</v>
      </c>
      <c r="BT862" t="str">
        <f>HYPERLINK("https%3A%2F%2Fwww.webofscience.com%2Fwos%2Fwoscc%2Ffull-record%2FWOS:000221045900008","View Full Record in Web of Science")</f>
        <v>View Full Record in Web of Science</v>
      </c>
    </row>
    <row r="863" spans="1:72" x14ac:dyDescent="0.15">
      <c r="A863" t="s">
        <v>122</v>
      </c>
      <c r="B863" t="s">
        <v>12295</v>
      </c>
      <c r="C863" t="s">
        <v>74</v>
      </c>
      <c r="D863" t="s">
        <v>74</v>
      </c>
      <c r="E863" t="s">
        <v>74</v>
      </c>
      <c r="F863" t="s">
        <v>12295</v>
      </c>
      <c r="G863" t="s">
        <v>74</v>
      </c>
      <c r="H863" t="s">
        <v>74</v>
      </c>
      <c r="I863" t="s">
        <v>12296</v>
      </c>
      <c r="J863" t="s">
        <v>6111</v>
      </c>
      <c r="K863" t="s">
        <v>74</v>
      </c>
      <c r="L863" t="s">
        <v>74</v>
      </c>
      <c r="M863" t="s">
        <v>79</v>
      </c>
      <c r="N863" t="s">
        <v>126</v>
      </c>
      <c r="O863" t="s">
        <v>74</v>
      </c>
      <c r="P863" t="s">
        <v>74</v>
      </c>
      <c r="Q863" t="s">
        <v>74</v>
      </c>
      <c r="R863" t="s">
        <v>74</v>
      </c>
      <c r="S863" t="s">
        <v>74</v>
      </c>
      <c r="T863" t="s">
        <v>74</v>
      </c>
      <c r="U863" t="s">
        <v>12297</v>
      </c>
      <c r="V863" t="s">
        <v>12298</v>
      </c>
      <c r="W863" t="s">
        <v>12299</v>
      </c>
      <c r="X863" t="s">
        <v>12300</v>
      </c>
      <c r="Y863" t="s">
        <v>12301</v>
      </c>
      <c r="Z863" t="s">
        <v>74</v>
      </c>
      <c r="AA863" t="s">
        <v>74</v>
      </c>
      <c r="AB863" t="s">
        <v>74</v>
      </c>
      <c r="AC863" t="s">
        <v>74</v>
      </c>
      <c r="AD863" t="s">
        <v>74</v>
      </c>
      <c r="AE863" t="s">
        <v>74</v>
      </c>
      <c r="AF863" t="s">
        <v>74</v>
      </c>
      <c r="AG863">
        <v>10</v>
      </c>
      <c r="AH863">
        <v>3</v>
      </c>
      <c r="AI863">
        <v>3</v>
      </c>
      <c r="AJ863">
        <v>0</v>
      </c>
      <c r="AK863">
        <v>0</v>
      </c>
      <c r="AL863" t="s">
        <v>1229</v>
      </c>
      <c r="AM863" t="s">
        <v>613</v>
      </c>
      <c r="AN863" t="s">
        <v>1230</v>
      </c>
      <c r="AO863" t="s">
        <v>6117</v>
      </c>
      <c r="AP863" t="s">
        <v>74</v>
      </c>
      <c r="AQ863" t="s">
        <v>74</v>
      </c>
      <c r="AR863" t="s">
        <v>6119</v>
      </c>
      <c r="AS863" t="s">
        <v>6120</v>
      </c>
      <c r="AT863" t="s">
        <v>12291</v>
      </c>
      <c r="AU863">
        <v>2004</v>
      </c>
      <c r="AV863">
        <v>44</v>
      </c>
      <c r="AW863">
        <v>3</v>
      </c>
      <c r="AX863" t="s">
        <v>74</v>
      </c>
      <c r="AY863" t="s">
        <v>74</v>
      </c>
      <c r="AZ863" t="s">
        <v>74</v>
      </c>
      <c r="BA863" t="s">
        <v>74</v>
      </c>
      <c r="BB863">
        <v>370</v>
      </c>
      <c r="BC863">
        <v>374</v>
      </c>
      <c r="BD863" t="s">
        <v>74</v>
      </c>
      <c r="BE863" t="s">
        <v>74</v>
      </c>
      <c r="BF863" t="s">
        <v>74</v>
      </c>
      <c r="BG863" t="s">
        <v>74</v>
      </c>
      <c r="BH863" t="s">
        <v>74</v>
      </c>
      <c r="BI863">
        <v>5</v>
      </c>
      <c r="BJ863" t="s">
        <v>271</v>
      </c>
      <c r="BK863" t="s">
        <v>139</v>
      </c>
      <c r="BL863" t="s">
        <v>271</v>
      </c>
      <c r="BM863" t="s">
        <v>12302</v>
      </c>
      <c r="BN863" t="s">
        <v>74</v>
      </c>
      <c r="BO863" t="s">
        <v>74</v>
      </c>
      <c r="BP863" t="s">
        <v>74</v>
      </c>
      <c r="BQ863" t="s">
        <v>74</v>
      </c>
      <c r="BR863" t="s">
        <v>98</v>
      </c>
      <c r="BS863" t="s">
        <v>12303</v>
      </c>
      <c r="BT863" t="str">
        <f>HYPERLINK("https%3A%2F%2Fwww.webofscience.com%2Fwos%2Fwoscc%2Ffull-record%2FWOS:000222341700016","View Full Record in Web of Science")</f>
        <v>View Full Record in Web of Science</v>
      </c>
    </row>
    <row r="864" spans="1:72" x14ac:dyDescent="0.15">
      <c r="A864" t="s">
        <v>122</v>
      </c>
      <c r="B864" t="s">
        <v>12304</v>
      </c>
      <c r="C864" t="s">
        <v>74</v>
      </c>
      <c r="D864" t="s">
        <v>74</v>
      </c>
      <c r="E864" t="s">
        <v>74</v>
      </c>
      <c r="F864" t="s">
        <v>12304</v>
      </c>
      <c r="G864" t="s">
        <v>74</v>
      </c>
      <c r="H864" t="s">
        <v>74</v>
      </c>
      <c r="I864" t="s">
        <v>12305</v>
      </c>
      <c r="J864" t="s">
        <v>12306</v>
      </c>
      <c r="K864" t="s">
        <v>74</v>
      </c>
      <c r="L864" t="s">
        <v>74</v>
      </c>
      <c r="M864" t="s">
        <v>79</v>
      </c>
      <c r="N864" t="s">
        <v>126</v>
      </c>
      <c r="O864" t="s">
        <v>74</v>
      </c>
      <c r="P864" t="s">
        <v>74</v>
      </c>
      <c r="Q864" t="s">
        <v>74</v>
      </c>
      <c r="R864" t="s">
        <v>74</v>
      </c>
      <c r="S864" t="s">
        <v>74</v>
      </c>
      <c r="T864" t="s">
        <v>74</v>
      </c>
      <c r="U864" t="s">
        <v>12307</v>
      </c>
      <c r="V864" t="s">
        <v>12308</v>
      </c>
      <c r="W864" t="s">
        <v>12309</v>
      </c>
      <c r="X864" t="s">
        <v>12310</v>
      </c>
      <c r="Y864" t="s">
        <v>12311</v>
      </c>
      <c r="Z864" t="s">
        <v>74</v>
      </c>
      <c r="AA864" t="s">
        <v>74</v>
      </c>
      <c r="AB864" t="s">
        <v>74</v>
      </c>
      <c r="AC864" t="s">
        <v>74</v>
      </c>
      <c r="AD864" t="s">
        <v>74</v>
      </c>
      <c r="AE864" t="s">
        <v>74</v>
      </c>
      <c r="AF864" t="s">
        <v>74</v>
      </c>
      <c r="AG864">
        <v>65</v>
      </c>
      <c r="AH864">
        <v>26</v>
      </c>
      <c r="AI864">
        <v>26</v>
      </c>
      <c r="AJ864">
        <v>0</v>
      </c>
      <c r="AK864">
        <v>8</v>
      </c>
      <c r="AL864" t="s">
        <v>12312</v>
      </c>
      <c r="AM864" t="s">
        <v>5145</v>
      </c>
      <c r="AN864" t="s">
        <v>12313</v>
      </c>
      <c r="AO864" t="s">
        <v>12314</v>
      </c>
      <c r="AP864" t="s">
        <v>12315</v>
      </c>
      <c r="AQ864" t="s">
        <v>74</v>
      </c>
      <c r="AR864" t="s">
        <v>12316</v>
      </c>
      <c r="AS864" t="s">
        <v>12317</v>
      </c>
      <c r="AT864" t="s">
        <v>12291</v>
      </c>
      <c r="AU864">
        <v>2004</v>
      </c>
      <c r="AV864">
        <v>38</v>
      </c>
      <c r="AW864">
        <v>3</v>
      </c>
      <c r="AX864" t="s">
        <v>74</v>
      </c>
      <c r="AY864" t="s">
        <v>74</v>
      </c>
      <c r="AZ864" t="s">
        <v>74</v>
      </c>
      <c r="BA864" t="s">
        <v>74</v>
      </c>
      <c r="BB864">
        <v>166</v>
      </c>
      <c r="BC864">
        <v>181</v>
      </c>
      <c r="BD864" t="s">
        <v>74</v>
      </c>
      <c r="BE864" t="s">
        <v>74</v>
      </c>
      <c r="BF864" t="s">
        <v>74</v>
      </c>
      <c r="BG864" t="s">
        <v>74</v>
      </c>
      <c r="BH864" t="s">
        <v>74</v>
      </c>
      <c r="BI864">
        <v>16</v>
      </c>
      <c r="BJ864" t="s">
        <v>271</v>
      </c>
      <c r="BK864" t="s">
        <v>139</v>
      </c>
      <c r="BL864" t="s">
        <v>271</v>
      </c>
      <c r="BM864" t="s">
        <v>12318</v>
      </c>
      <c r="BN864" t="s">
        <v>74</v>
      </c>
      <c r="BO864" t="s">
        <v>74</v>
      </c>
      <c r="BP864" t="s">
        <v>74</v>
      </c>
      <c r="BQ864" t="s">
        <v>74</v>
      </c>
      <c r="BR864" t="s">
        <v>98</v>
      </c>
      <c r="BS864" t="s">
        <v>12319</v>
      </c>
      <c r="BT864" t="str">
        <f>HYPERLINK("https%3A%2F%2Fwww.webofscience.com%2Fwos%2Fwoscc%2Ffull-record%2FWOS:000222070300002","View Full Record in Web of Science")</f>
        <v>View Full Record in Web of Science</v>
      </c>
    </row>
    <row r="865" spans="1:72" x14ac:dyDescent="0.15">
      <c r="A865" t="s">
        <v>122</v>
      </c>
      <c r="B865" t="s">
        <v>12320</v>
      </c>
      <c r="C865" t="s">
        <v>74</v>
      </c>
      <c r="D865" t="s">
        <v>74</v>
      </c>
      <c r="E865" t="s">
        <v>74</v>
      </c>
      <c r="F865" t="s">
        <v>12320</v>
      </c>
      <c r="G865" t="s">
        <v>74</v>
      </c>
      <c r="H865" t="s">
        <v>74</v>
      </c>
      <c r="I865" t="s">
        <v>12321</v>
      </c>
      <c r="J865" t="s">
        <v>12322</v>
      </c>
      <c r="K865" t="s">
        <v>74</v>
      </c>
      <c r="L865" t="s">
        <v>74</v>
      </c>
      <c r="M865" t="s">
        <v>79</v>
      </c>
      <c r="N865" t="s">
        <v>126</v>
      </c>
      <c r="O865" t="s">
        <v>74</v>
      </c>
      <c r="P865" t="s">
        <v>74</v>
      </c>
      <c r="Q865" t="s">
        <v>74</v>
      </c>
      <c r="R865" t="s">
        <v>74</v>
      </c>
      <c r="S865" t="s">
        <v>74</v>
      </c>
      <c r="T865" t="s">
        <v>12323</v>
      </c>
      <c r="U865" t="s">
        <v>12324</v>
      </c>
      <c r="V865" t="s">
        <v>12325</v>
      </c>
      <c r="W865" t="s">
        <v>12326</v>
      </c>
      <c r="X865" t="s">
        <v>12327</v>
      </c>
      <c r="Y865" t="s">
        <v>12328</v>
      </c>
      <c r="Z865" t="s">
        <v>12329</v>
      </c>
      <c r="AA865" t="s">
        <v>74</v>
      </c>
      <c r="AB865" t="s">
        <v>12330</v>
      </c>
      <c r="AC865" t="s">
        <v>74</v>
      </c>
      <c r="AD865" t="s">
        <v>74</v>
      </c>
      <c r="AE865" t="s">
        <v>74</v>
      </c>
      <c r="AF865" t="s">
        <v>74</v>
      </c>
      <c r="AG865">
        <v>56</v>
      </c>
      <c r="AH865">
        <v>66</v>
      </c>
      <c r="AI865">
        <v>67</v>
      </c>
      <c r="AJ865">
        <v>0</v>
      </c>
      <c r="AK865">
        <v>17</v>
      </c>
      <c r="AL865" t="s">
        <v>12331</v>
      </c>
      <c r="AM865" t="s">
        <v>375</v>
      </c>
      <c r="AN865" t="s">
        <v>12332</v>
      </c>
      <c r="AO865" t="s">
        <v>12333</v>
      </c>
      <c r="AP865" t="s">
        <v>74</v>
      </c>
      <c r="AQ865" t="s">
        <v>74</v>
      </c>
      <c r="AR865" t="s">
        <v>12322</v>
      </c>
      <c r="AS865" t="s">
        <v>12334</v>
      </c>
      <c r="AT865" t="s">
        <v>11880</v>
      </c>
      <c r="AU865">
        <v>2004</v>
      </c>
      <c r="AV865">
        <v>14</v>
      </c>
      <c r="AW865">
        <v>3</v>
      </c>
      <c r="AX865" t="s">
        <v>74</v>
      </c>
      <c r="AY865" t="s">
        <v>74</v>
      </c>
      <c r="AZ865" t="s">
        <v>74</v>
      </c>
      <c r="BA865" t="s">
        <v>74</v>
      </c>
      <c r="BB865">
        <v>382</v>
      </c>
      <c r="BC865">
        <v>392</v>
      </c>
      <c r="BD865" t="s">
        <v>74</v>
      </c>
      <c r="BE865" t="s">
        <v>12335</v>
      </c>
      <c r="BF865" t="str">
        <f>HYPERLINK("http://dx.doi.org/10.1191/0959683604hl714rp","http://dx.doi.org/10.1191/0959683604hl714rp")</f>
        <v>http://dx.doi.org/10.1191/0959683604hl714rp</v>
      </c>
      <c r="BG865" t="s">
        <v>74</v>
      </c>
      <c r="BH865" t="s">
        <v>74</v>
      </c>
      <c r="BI865">
        <v>11</v>
      </c>
      <c r="BJ865" t="s">
        <v>3767</v>
      </c>
      <c r="BK865" t="s">
        <v>139</v>
      </c>
      <c r="BL865" t="s">
        <v>3768</v>
      </c>
      <c r="BM865" t="s">
        <v>12336</v>
      </c>
      <c r="BN865" t="s">
        <v>74</v>
      </c>
      <c r="BO865" t="s">
        <v>74</v>
      </c>
      <c r="BP865" t="s">
        <v>74</v>
      </c>
      <c r="BQ865" t="s">
        <v>74</v>
      </c>
      <c r="BR865" t="s">
        <v>98</v>
      </c>
      <c r="BS865" t="s">
        <v>12337</v>
      </c>
      <c r="BT865" t="str">
        <f>HYPERLINK("https%3A%2F%2Fwww.webofscience.com%2Fwos%2Fwoscc%2Ffull-record%2FWOS:000221524900006","View Full Record in Web of Science")</f>
        <v>View Full Record in Web of Science</v>
      </c>
    </row>
    <row r="866" spans="1:72" x14ac:dyDescent="0.15">
      <c r="A866" t="s">
        <v>122</v>
      </c>
      <c r="B866" t="s">
        <v>12338</v>
      </c>
      <c r="C866" t="s">
        <v>74</v>
      </c>
      <c r="D866" t="s">
        <v>74</v>
      </c>
      <c r="E866" t="s">
        <v>74</v>
      </c>
      <c r="F866" t="s">
        <v>12338</v>
      </c>
      <c r="G866" t="s">
        <v>74</v>
      </c>
      <c r="H866" t="s">
        <v>74</v>
      </c>
      <c r="I866" t="s">
        <v>12339</v>
      </c>
      <c r="J866" t="s">
        <v>12340</v>
      </c>
      <c r="K866" t="s">
        <v>74</v>
      </c>
      <c r="L866" t="s">
        <v>74</v>
      </c>
      <c r="M866" t="s">
        <v>79</v>
      </c>
      <c r="N866" t="s">
        <v>126</v>
      </c>
      <c r="O866" t="s">
        <v>74</v>
      </c>
      <c r="P866" t="s">
        <v>74</v>
      </c>
      <c r="Q866" t="s">
        <v>74</v>
      </c>
      <c r="R866" t="s">
        <v>74</v>
      </c>
      <c r="S866" t="s">
        <v>74</v>
      </c>
      <c r="T866" t="s">
        <v>12341</v>
      </c>
      <c r="U866" t="s">
        <v>12342</v>
      </c>
      <c r="V866" t="s">
        <v>12343</v>
      </c>
      <c r="W866" t="s">
        <v>12344</v>
      </c>
      <c r="X866" t="s">
        <v>12345</v>
      </c>
      <c r="Y866" t="s">
        <v>12346</v>
      </c>
      <c r="Z866" t="s">
        <v>12347</v>
      </c>
      <c r="AA866" t="s">
        <v>12348</v>
      </c>
      <c r="AB866" t="s">
        <v>12349</v>
      </c>
      <c r="AC866" t="s">
        <v>74</v>
      </c>
      <c r="AD866" t="s">
        <v>74</v>
      </c>
      <c r="AE866" t="s">
        <v>74</v>
      </c>
      <c r="AF866" t="s">
        <v>74</v>
      </c>
      <c r="AG866">
        <v>40</v>
      </c>
      <c r="AH866">
        <v>12</v>
      </c>
      <c r="AI866">
        <v>17</v>
      </c>
      <c r="AJ866">
        <v>2</v>
      </c>
      <c r="AK866">
        <v>9</v>
      </c>
      <c r="AL866" t="s">
        <v>1644</v>
      </c>
      <c r="AM866" t="s">
        <v>1645</v>
      </c>
      <c r="AN866" t="s">
        <v>1646</v>
      </c>
      <c r="AO866" t="s">
        <v>12350</v>
      </c>
      <c r="AP866" t="s">
        <v>12351</v>
      </c>
      <c r="AQ866" t="s">
        <v>74</v>
      </c>
      <c r="AR866" t="s">
        <v>12352</v>
      </c>
      <c r="AS866" t="s">
        <v>12353</v>
      </c>
      <c r="AT866" t="s">
        <v>12291</v>
      </c>
      <c r="AU866">
        <v>2004</v>
      </c>
      <c r="AV866">
        <v>84</v>
      </c>
      <c r="AW866" t="s">
        <v>10466</v>
      </c>
      <c r="AX866" t="s">
        <v>74</v>
      </c>
      <c r="AY866" t="s">
        <v>74</v>
      </c>
      <c r="AZ866" t="s">
        <v>74</v>
      </c>
      <c r="BA866" t="s">
        <v>74</v>
      </c>
      <c r="BB866">
        <v>401</v>
      </c>
      <c r="BC866">
        <v>412</v>
      </c>
      <c r="BD866" t="s">
        <v>74</v>
      </c>
      <c r="BE866" t="s">
        <v>12354</v>
      </c>
      <c r="BF866" t="str">
        <f>HYPERLINK("http://dx.doi.org/10.1080/03067310310001636983","http://dx.doi.org/10.1080/03067310310001636983")</f>
        <v>http://dx.doi.org/10.1080/03067310310001636983</v>
      </c>
      <c r="BG866" t="s">
        <v>74</v>
      </c>
      <c r="BH866" t="s">
        <v>74</v>
      </c>
      <c r="BI866">
        <v>12</v>
      </c>
      <c r="BJ866" t="s">
        <v>12355</v>
      </c>
      <c r="BK866" t="s">
        <v>139</v>
      </c>
      <c r="BL866" t="s">
        <v>12356</v>
      </c>
      <c r="BM866" t="s">
        <v>12357</v>
      </c>
      <c r="BN866" t="s">
        <v>74</v>
      </c>
      <c r="BO866" t="s">
        <v>74</v>
      </c>
      <c r="BP866" t="s">
        <v>74</v>
      </c>
      <c r="BQ866" t="s">
        <v>74</v>
      </c>
      <c r="BR866" t="s">
        <v>98</v>
      </c>
      <c r="BS866" t="s">
        <v>12358</v>
      </c>
      <c r="BT866" t="str">
        <f>HYPERLINK("https%3A%2F%2Fwww.webofscience.com%2Fwos%2Fwoscc%2Ffull-record%2FWOS:000221886500002","View Full Record in Web of Science")</f>
        <v>View Full Record in Web of Science</v>
      </c>
    </row>
    <row r="867" spans="1:72" x14ac:dyDescent="0.15">
      <c r="A867" t="s">
        <v>122</v>
      </c>
      <c r="B867" t="s">
        <v>12359</v>
      </c>
      <c r="C867" t="s">
        <v>74</v>
      </c>
      <c r="D867" t="s">
        <v>74</v>
      </c>
      <c r="E867" t="s">
        <v>74</v>
      </c>
      <c r="F867" t="s">
        <v>12359</v>
      </c>
      <c r="G867" t="s">
        <v>74</v>
      </c>
      <c r="H867" t="s">
        <v>74</v>
      </c>
      <c r="I867" t="s">
        <v>12360</v>
      </c>
      <c r="J867" t="s">
        <v>12340</v>
      </c>
      <c r="K867" t="s">
        <v>74</v>
      </c>
      <c r="L867" t="s">
        <v>74</v>
      </c>
      <c r="M867" t="s">
        <v>79</v>
      </c>
      <c r="N867" t="s">
        <v>126</v>
      </c>
      <c r="O867" t="s">
        <v>74</v>
      </c>
      <c r="P867" t="s">
        <v>74</v>
      </c>
      <c r="Q867" t="s">
        <v>74</v>
      </c>
      <c r="R867" t="s">
        <v>74</v>
      </c>
      <c r="S867" t="s">
        <v>74</v>
      </c>
      <c r="T867" t="s">
        <v>12361</v>
      </c>
      <c r="U867" t="s">
        <v>12362</v>
      </c>
      <c r="V867" t="s">
        <v>12363</v>
      </c>
      <c r="W867" t="s">
        <v>12364</v>
      </c>
      <c r="X867" t="s">
        <v>12365</v>
      </c>
      <c r="Y867" t="s">
        <v>12366</v>
      </c>
      <c r="Z867" t="s">
        <v>12367</v>
      </c>
      <c r="AA867" t="s">
        <v>74</v>
      </c>
      <c r="AB867" t="s">
        <v>12368</v>
      </c>
      <c r="AC867" t="s">
        <v>74</v>
      </c>
      <c r="AD867" t="s">
        <v>74</v>
      </c>
      <c r="AE867" t="s">
        <v>74</v>
      </c>
      <c r="AF867" t="s">
        <v>74</v>
      </c>
      <c r="AG867">
        <v>19</v>
      </c>
      <c r="AH867">
        <v>9</v>
      </c>
      <c r="AI867">
        <v>9</v>
      </c>
      <c r="AJ867">
        <v>0</v>
      </c>
      <c r="AK867">
        <v>4</v>
      </c>
      <c r="AL867" t="s">
        <v>1644</v>
      </c>
      <c r="AM867" t="s">
        <v>1645</v>
      </c>
      <c r="AN867" t="s">
        <v>1646</v>
      </c>
      <c r="AO867" t="s">
        <v>12350</v>
      </c>
      <c r="AP867" t="s">
        <v>12351</v>
      </c>
      <c r="AQ867" t="s">
        <v>74</v>
      </c>
      <c r="AR867" t="s">
        <v>12352</v>
      </c>
      <c r="AS867" t="s">
        <v>12353</v>
      </c>
      <c r="AT867" t="s">
        <v>12291</v>
      </c>
      <c r="AU867">
        <v>2004</v>
      </c>
      <c r="AV867">
        <v>84</v>
      </c>
      <c r="AW867" t="s">
        <v>10466</v>
      </c>
      <c r="AX867" t="s">
        <v>74</v>
      </c>
      <c r="AY867" t="s">
        <v>74</v>
      </c>
      <c r="AZ867" t="s">
        <v>74</v>
      </c>
      <c r="BA867" t="s">
        <v>74</v>
      </c>
      <c r="BB867">
        <v>413</v>
      </c>
      <c r="BC867">
        <v>421</v>
      </c>
      <c r="BD867" t="s">
        <v>74</v>
      </c>
      <c r="BE867" t="s">
        <v>12369</v>
      </c>
      <c r="BF867" t="str">
        <f>HYPERLINK("http://dx.doi.org/10.1080/03067310310001637685","http://dx.doi.org/10.1080/03067310310001637685")</f>
        <v>http://dx.doi.org/10.1080/03067310310001637685</v>
      </c>
      <c r="BG867" t="s">
        <v>74</v>
      </c>
      <c r="BH867" t="s">
        <v>74</v>
      </c>
      <c r="BI867">
        <v>9</v>
      </c>
      <c r="BJ867" t="s">
        <v>12355</v>
      </c>
      <c r="BK867" t="s">
        <v>139</v>
      </c>
      <c r="BL867" t="s">
        <v>12356</v>
      </c>
      <c r="BM867" t="s">
        <v>12357</v>
      </c>
      <c r="BN867" t="s">
        <v>74</v>
      </c>
      <c r="BO867" t="s">
        <v>74</v>
      </c>
      <c r="BP867" t="s">
        <v>74</v>
      </c>
      <c r="BQ867" t="s">
        <v>74</v>
      </c>
      <c r="BR867" t="s">
        <v>98</v>
      </c>
      <c r="BS867" t="s">
        <v>12370</v>
      </c>
      <c r="BT867" t="str">
        <f>HYPERLINK("https%3A%2F%2Fwww.webofscience.com%2Fwos%2Fwoscc%2Ffull-record%2FWOS:000221886500003","View Full Record in Web of Science")</f>
        <v>View Full Record in Web of Science</v>
      </c>
    </row>
    <row r="868" spans="1:72" x14ac:dyDescent="0.15">
      <c r="A868" t="s">
        <v>122</v>
      </c>
      <c r="B868" t="s">
        <v>12371</v>
      </c>
      <c r="C868" t="s">
        <v>74</v>
      </c>
      <c r="D868" t="s">
        <v>74</v>
      </c>
      <c r="E868" t="s">
        <v>74</v>
      </c>
      <c r="F868" t="s">
        <v>12371</v>
      </c>
      <c r="G868" t="s">
        <v>74</v>
      </c>
      <c r="H868" t="s">
        <v>74</v>
      </c>
      <c r="I868" t="s">
        <v>12372</v>
      </c>
      <c r="J868" t="s">
        <v>12340</v>
      </c>
      <c r="K868" t="s">
        <v>74</v>
      </c>
      <c r="L868" t="s">
        <v>74</v>
      </c>
      <c r="M868" t="s">
        <v>79</v>
      </c>
      <c r="N868" t="s">
        <v>126</v>
      </c>
      <c r="O868" t="s">
        <v>74</v>
      </c>
      <c r="P868" t="s">
        <v>74</v>
      </c>
      <c r="Q868" t="s">
        <v>74</v>
      </c>
      <c r="R868" t="s">
        <v>74</v>
      </c>
      <c r="S868" t="s">
        <v>74</v>
      </c>
      <c r="T868" t="s">
        <v>12373</v>
      </c>
      <c r="U868" t="s">
        <v>12374</v>
      </c>
      <c r="V868" t="s">
        <v>12375</v>
      </c>
      <c r="W868" t="s">
        <v>12376</v>
      </c>
      <c r="X868" t="s">
        <v>12377</v>
      </c>
      <c r="Y868" t="s">
        <v>12378</v>
      </c>
      <c r="Z868" t="s">
        <v>12379</v>
      </c>
      <c r="AA868" t="s">
        <v>12380</v>
      </c>
      <c r="AB868" t="s">
        <v>12381</v>
      </c>
      <c r="AC868" t="s">
        <v>74</v>
      </c>
      <c r="AD868" t="s">
        <v>74</v>
      </c>
      <c r="AE868" t="s">
        <v>74</v>
      </c>
      <c r="AF868" t="s">
        <v>74</v>
      </c>
      <c r="AG868">
        <v>36</v>
      </c>
      <c r="AH868">
        <v>3</v>
      </c>
      <c r="AI868">
        <v>3</v>
      </c>
      <c r="AJ868">
        <v>0</v>
      </c>
      <c r="AK868">
        <v>7</v>
      </c>
      <c r="AL868" t="s">
        <v>1644</v>
      </c>
      <c r="AM868" t="s">
        <v>1645</v>
      </c>
      <c r="AN868" t="s">
        <v>1859</v>
      </c>
      <c r="AO868" t="s">
        <v>12350</v>
      </c>
      <c r="AP868" t="s">
        <v>74</v>
      </c>
      <c r="AQ868" t="s">
        <v>74</v>
      </c>
      <c r="AR868" t="s">
        <v>12352</v>
      </c>
      <c r="AS868" t="s">
        <v>12353</v>
      </c>
      <c r="AT868" t="s">
        <v>12291</v>
      </c>
      <c r="AU868">
        <v>2004</v>
      </c>
      <c r="AV868">
        <v>84</v>
      </c>
      <c r="AW868" t="s">
        <v>10466</v>
      </c>
      <c r="AX868" t="s">
        <v>74</v>
      </c>
      <c r="AY868" t="s">
        <v>74</v>
      </c>
      <c r="AZ868" t="s">
        <v>74</v>
      </c>
      <c r="BA868" t="s">
        <v>74</v>
      </c>
      <c r="BB868">
        <v>441</v>
      </c>
      <c r="BC868">
        <v>456</v>
      </c>
      <c r="BD868" t="s">
        <v>74</v>
      </c>
      <c r="BE868" t="s">
        <v>12382</v>
      </c>
      <c r="BF868" t="str">
        <f>HYPERLINK("http://dx.doi.org/10.1080/03067310310001626687","http://dx.doi.org/10.1080/03067310310001626687")</f>
        <v>http://dx.doi.org/10.1080/03067310310001626687</v>
      </c>
      <c r="BG868" t="s">
        <v>74</v>
      </c>
      <c r="BH868" t="s">
        <v>74</v>
      </c>
      <c r="BI868">
        <v>16</v>
      </c>
      <c r="BJ868" t="s">
        <v>12355</v>
      </c>
      <c r="BK868" t="s">
        <v>139</v>
      </c>
      <c r="BL868" t="s">
        <v>12356</v>
      </c>
      <c r="BM868" t="s">
        <v>12357</v>
      </c>
      <c r="BN868" t="s">
        <v>74</v>
      </c>
      <c r="BO868" t="s">
        <v>74</v>
      </c>
      <c r="BP868" t="s">
        <v>74</v>
      </c>
      <c r="BQ868" t="s">
        <v>74</v>
      </c>
      <c r="BR868" t="s">
        <v>98</v>
      </c>
      <c r="BS868" t="s">
        <v>12383</v>
      </c>
      <c r="BT868" t="str">
        <f>HYPERLINK("https%3A%2F%2Fwww.webofscience.com%2Fwos%2Fwoscc%2Ffull-record%2FWOS:000221886500005","View Full Record in Web of Science")</f>
        <v>View Full Record in Web of Science</v>
      </c>
    </row>
    <row r="869" spans="1:72" x14ac:dyDescent="0.15">
      <c r="A869" t="s">
        <v>122</v>
      </c>
      <c r="B869" t="s">
        <v>12384</v>
      </c>
      <c r="C869" t="s">
        <v>74</v>
      </c>
      <c r="D869" t="s">
        <v>74</v>
      </c>
      <c r="E869" t="s">
        <v>74</v>
      </c>
      <c r="F869" t="s">
        <v>12384</v>
      </c>
      <c r="G869" t="s">
        <v>74</v>
      </c>
      <c r="H869" t="s">
        <v>74</v>
      </c>
      <c r="I869" t="s">
        <v>12385</v>
      </c>
      <c r="J869" t="s">
        <v>12340</v>
      </c>
      <c r="K869" t="s">
        <v>74</v>
      </c>
      <c r="L869" t="s">
        <v>74</v>
      </c>
      <c r="M869" t="s">
        <v>79</v>
      </c>
      <c r="N869" t="s">
        <v>126</v>
      </c>
      <c r="O869" t="s">
        <v>74</v>
      </c>
      <c r="P869" t="s">
        <v>74</v>
      </c>
      <c r="Q869" t="s">
        <v>74</v>
      </c>
      <c r="R869" t="s">
        <v>74</v>
      </c>
      <c r="S869" t="s">
        <v>74</v>
      </c>
      <c r="T869" t="s">
        <v>12386</v>
      </c>
      <c r="U869" t="s">
        <v>12387</v>
      </c>
      <c r="V869" t="s">
        <v>12388</v>
      </c>
      <c r="W869" t="s">
        <v>12389</v>
      </c>
      <c r="X869" t="s">
        <v>12390</v>
      </c>
      <c r="Y869" t="s">
        <v>12391</v>
      </c>
      <c r="Z869" t="s">
        <v>5555</v>
      </c>
      <c r="AA869" t="s">
        <v>5556</v>
      </c>
      <c r="AB869" t="s">
        <v>5557</v>
      </c>
      <c r="AC869" t="s">
        <v>74</v>
      </c>
      <c r="AD869" t="s">
        <v>74</v>
      </c>
      <c r="AE869" t="s">
        <v>74</v>
      </c>
      <c r="AF869" t="s">
        <v>74</v>
      </c>
      <c r="AG869">
        <v>47</v>
      </c>
      <c r="AH869">
        <v>4</v>
      </c>
      <c r="AI869">
        <v>4</v>
      </c>
      <c r="AJ869">
        <v>0</v>
      </c>
      <c r="AK869">
        <v>14</v>
      </c>
      <c r="AL869" t="s">
        <v>1644</v>
      </c>
      <c r="AM869" t="s">
        <v>1645</v>
      </c>
      <c r="AN869" t="s">
        <v>1646</v>
      </c>
      <c r="AO869" t="s">
        <v>12350</v>
      </c>
      <c r="AP869" t="s">
        <v>12351</v>
      </c>
      <c r="AQ869" t="s">
        <v>74</v>
      </c>
      <c r="AR869" t="s">
        <v>12352</v>
      </c>
      <c r="AS869" t="s">
        <v>12353</v>
      </c>
      <c r="AT869" t="s">
        <v>12291</v>
      </c>
      <c r="AU869">
        <v>2004</v>
      </c>
      <c r="AV869">
        <v>84</v>
      </c>
      <c r="AW869" t="s">
        <v>10466</v>
      </c>
      <c r="AX869" t="s">
        <v>74</v>
      </c>
      <c r="AY869" t="s">
        <v>74</v>
      </c>
      <c r="AZ869" t="s">
        <v>74</v>
      </c>
      <c r="BA869" t="s">
        <v>74</v>
      </c>
      <c r="BB869">
        <v>471</v>
      </c>
      <c r="BC869">
        <v>492</v>
      </c>
      <c r="BD869" t="s">
        <v>74</v>
      </c>
      <c r="BE869" t="s">
        <v>12392</v>
      </c>
      <c r="BF869" t="str">
        <f>HYPERLINK("http://dx.doi.org/10.1080/03067310310001637667","http://dx.doi.org/10.1080/03067310310001637667")</f>
        <v>http://dx.doi.org/10.1080/03067310310001637667</v>
      </c>
      <c r="BG869" t="s">
        <v>74</v>
      </c>
      <c r="BH869" t="s">
        <v>74</v>
      </c>
      <c r="BI869">
        <v>22</v>
      </c>
      <c r="BJ869" t="s">
        <v>12355</v>
      </c>
      <c r="BK869" t="s">
        <v>139</v>
      </c>
      <c r="BL869" t="s">
        <v>12356</v>
      </c>
      <c r="BM869" t="s">
        <v>12357</v>
      </c>
      <c r="BN869" t="s">
        <v>74</v>
      </c>
      <c r="BO869" t="s">
        <v>74</v>
      </c>
      <c r="BP869" t="s">
        <v>74</v>
      </c>
      <c r="BQ869" t="s">
        <v>74</v>
      </c>
      <c r="BR869" t="s">
        <v>98</v>
      </c>
      <c r="BS869" t="s">
        <v>12393</v>
      </c>
      <c r="BT869" t="str">
        <f>HYPERLINK("https%3A%2F%2Fwww.webofscience.com%2Fwos%2Fwoscc%2Ffull-record%2FWOS:000221886500007","View Full Record in Web of Science")</f>
        <v>View Full Record in Web of Science</v>
      </c>
    </row>
    <row r="870" spans="1:72" x14ac:dyDescent="0.15">
      <c r="A870" t="s">
        <v>122</v>
      </c>
      <c r="B870" t="s">
        <v>12394</v>
      </c>
      <c r="C870" t="s">
        <v>74</v>
      </c>
      <c r="D870" t="s">
        <v>74</v>
      </c>
      <c r="E870" t="s">
        <v>74</v>
      </c>
      <c r="F870" t="s">
        <v>12394</v>
      </c>
      <c r="G870" t="s">
        <v>74</v>
      </c>
      <c r="H870" t="s">
        <v>74</v>
      </c>
      <c r="I870" t="s">
        <v>12395</v>
      </c>
      <c r="J870" t="s">
        <v>12340</v>
      </c>
      <c r="K870" t="s">
        <v>74</v>
      </c>
      <c r="L870" t="s">
        <v>74</v>
      </c>
      <c r="M870" t="s">
        <v>79</v>
      </c>
      <c r="N870" t="s">
        <v>126</v>
      </c>
      <c r="O870" t="s">
        <v>74</v>
      </c>
      <c r="P870" t="s">
        <v>74</v>
      </c>
      <c r="Q870" t="s">
        <v>74</v>
      </c>
      <c r="R870" t="s">
        <v>74</v>
      </c>
      <c r="S870" t="s">
        <v>74</v>
      </c>
      <c r="T870" t="s">
        <v>12396</v>
      </c>
      <c r="U870" t="s">
        <v>12397</v>
      </c>
      <c r="V870" t="s">
        <v>12398</v>
      </c>
      <c r="W870" t="s">
        <v>12399</v>
      </c>
      <c r="X870" t="s">
        <v>12400</v>
      </c>
      <c r="Y870" t="s">
        <v>12401</v>
      </c>
      <c r="Z870" t="s">
        <v>12402</v>
      </c>
      <c r="AA870" t="s">
        <v>12403</v>
      </c>
      <c r="AB870" t="s">
        <v>12404</v>
      </c>
      <c r="AC870" t="s">
        <v>74</v>
      </c>
      <c r="AD870" t="s">
        <v>74</v>
      </c>
      <c r="AE870" t="s">
        <v>74</v>
      </c>
      <c r="AF870" t="s">
        <v>74</v>
      </c>
      <c r="AG870">
        <v>26</v>
      </c>
      <c r="AH870">
        <v>30</v>
      </c>
      <c r="AI870">
        <v>31</v>
      </c>
      <c r="AJ870">
        <v>3</v>
      </c>
      <c r="AK870">
        <v>25</v>
      </c>
      <c r="AL870" t="s">
        <v>1644</v>
      </c>
      <c r="AM870" t="s">
        <v>1645</v>
      </c>
      <c r="AN870" t="s">
        <v>1646</v>
      </c>
      <c r="AO870" t="s">
        <v>12350</v>
      </c>
      <c r="AP870" t="s">
        <v>12351</v>
      </c>
      <c r="AQ870" t="s">
        <v>74</v>
      </c>
      <c r="AR870" t="s">
        <v>12352</v>
      </c>
      <c r="AS870" t="s">
        <v>12353</v>
      </c>
      <c r="AT870" t="s">
        <v>12291</v>
      </c>
      <c r="AU870">
        <v>2004</v>
      </c>
      <c r="AV870">
        <v>84</v>
      </c>
      <c r="AW870" t="s">
        <v>10466</v>
      </c>
      <c r="AX870" t="s">
        <v>74</v>
      </c>
      <c r="AY870" t="s">
        <v>74</v>
      </c>
      <c r="AZ870" t="s">
        <v>74</v>
      </c>
      <c r="BA870" t="s">
        <v>74</v>
      </c>
      <c r="BB870">
        <v>493</v>
      </c>
      <c r="BC870">
        <v>504</v>
      </c>
      <c r="BD870" t="s">
        <v>74</v>
      </c>
      <c r="BE870" t="s">
        <v>12405</v>
      </c>
      <c r="BF870" t="str">
        <f>HYPERLINK("http://dx.doi.org/10.1080/03067310310001640447","http://dx.doi.org/10.1080/03067310310001640447")</f>
        <v>http://dx.doi.org/10.1080/03067310310001640447</v>
      </c>
      <c r="BG870" t="s">
        <v>74</v>
      </c>
      <c r="BH870" t="s">
        <v>74</v>
      </c>
      <c r="BI870">
        <v>12</v>
      </c>
      <c r="BJ870" t="s">
        <v>12355</v>
      </c>
      <c r="BK870" t="s">
        <v>139</v>
      </c>
      <c r="BL870" t="s">
        <v>12356</v>
      </c>
      <c r="BM870" t="s">
        <v>12357</v>
      </c>
      <c r="BN870" t="s">
        <v>74</v>
      </c>
      <c r="BO870" t="s">
        <v>74</v>
      </c>
      <c r="BP870" t="s">
        <v>74</v>
      </c>
      <c r="BQ870" t="s">
        <v>74</v>
      </c>
      <c r="BR870" t="s">
        <v>98</v>
      </c>
      <c r="BS870" t="s">
        <v>12406</v>
      </c>
      <c r="BT870" t="str">
        <f>HYPERLINK("https%3A%2F%2Fwww.webofscience.com%2Fwos%2Fwoscc%2Ffull-record%2FWOS:000221886500008","View Full Record in Web of Science")</f>
        <v>View Full Record in Web of Science</v>
      </c>
    </row>
    <row r="871" spans="1:72" x14ac:dyDescent="0.15">
      <c r="A871" t="s">
        <v>122</v>
      </c>
      <c r="B871" t="s">
        <v>12407</v>
      </c>
      <c r="C871" t="s">
        <v>74</v>
      </c>
      <c r="D871" t="s">
        <v>74</v>
      </c>
      <c r="E871" t="s">
        <v>74</v>
      </c>
      <c r="F871" t="s">
        <v>12407</v>
      </c>
      <c r="G871" t="s">
        <v>74</v>
      </c>
      <c r="H871" t="s">
        <v>74</v>
      </c>
      <c r="I871" t="s">
        <v>12408</v>
      </c>
      <c r="J871" t="s">
        <v>12340</v>
      </c>
      <c r="K871" t="s">
        <v>74</v>
      </c>
      <c r="L871" t="s">
        <v>74</v>
      </c>
      <c r="M871" t="s">
        <v>79</v>
      </c>
      <c r="N871" t="s">
        <v>126</v>
      </c>
      <c r="O871" t="s">
        <v>74</v>
      </c>
      <c r="P871" t="s">
        <v>74</v>
      </c>
      <c r="Q871" t="s">
        <v>74</v>
      </c>
      <c r="R871" t="s">
        <v>74</v>
      </c>
      <c r="S871" t="s">
        <v>74</v>
      </c>
      <c r="T871" t="s">
        <v>12409</v>
      </c>
      <c r="U871" t="s">
        <v>12410</v>
      </c>
      <c r="V871" t="s">
        <v>12411</v>
      </c>
      <c r="W871" t="s">
        <v>12412</v>
      </c>
      <c r="X871" t="s">
        <v>8038</v>
      </c>
      <c r="Y871" t="s">
        <v>12413</v>
      </c>
      <c r="Z871" t="s">
        <v>12414</v>
      </c>
      <c r="AA871" t="s">
        <v>12415</v>
      </c>
      <c r="AB871" t="s">
        <v>12416</v>
      </c>
      <c r="AC871" t="s">
        <v>74</v>
      </c>
      <c r="AD871" t="s">
        <v>74</v>
      </c>
      <c r="AE871" t="s">
        <v>74</v>
      </c>
      <c r="AF871" t="s">
        <v>74</v>
      </c>
      <c r="AG871">
        <v>12</v>
      </c>
      <c r="AH871">
        <v>2</v>
      </c>
      <c r="AI871">
        <v>2</v>
      </c>
      <c r="AJ871">
        <v>1</v>
      </c>
      <c r="AK871">
        <v>15</v>
      </c>
      <c r="AL871" t="s">
        <v>1644</v>
      </c>
      <c r="AM871" t="s">
        <v>1645</v>
      </c>
      <c r="AN871" t="s">
        <v>1646</v>
      </c>
      <c r="AO871" t="s">
        <v>12350</v>
      </c>
      <c r="AP871" t="s">
        <v>12351</v>
      </c>
      <c r="AQ871" t="s">
        <v>74</v>
      </c>
      <c r="AR871" t="s">
        <v>12352</v>
      </c>
      <c r="AS871" t="s">
        <v>12353</v>
      </c>
      <c r="AT871" t="s">
        <v>12291</v>
      </c>
      <c r="AU871">
        <v>2004</v>
      </c>
      <c r="AV871">
        <v>84</v>
      </c>
      <c r="AW871" t="s">
        <v>10466</v>
      </c>
      <c r="AX871" t="s">
        <v>74</v>
      </c>
      <c r="AY871" t="s">
        <v>74</v>
      </c>
      <c r="AZ871" t="s">
        <v>74</v>
      </c>
      <c r="BA871" t="s">
        <v>74</v>
      </c>
      <c r="BB871">
        <v>505</v>
      </c>
      <c r="BC871">
        <v>512</v>
      </c>
      <c r="BD871" t="s">
        <v>74</v>
      </c>
      <c r="BE871" t="s">
        <v>12417</v>
      </c>
      <c r="BF871" t="str">
        <f>HYPERLINK("http://dx.doi.org/10.1080/03067310310001659979","http://dx.doi.org/10.1080/03067310310001659979")</f>
        <v>http://dx.doi.org/10.1080/03067310310001659979</v>
      </c>
      <c r="BG871" t="s">
        <v>74</v>
      </c>
      <c r="BH871" t="s">
        <v>74</v>
      </c>
      <c r="BI871">
        <v>8</v>
      </c>
      <c r="BJ871" t="s">
        <v>12355</v>
      </c>
      <c r="BK871" t="s">
        <v>139</v>
      </c>
      <c r="BL871" t="s">
        <v>12356</v>
      </c>
      <c r="BM871" t="s">
        <v>12357</v>
      </c>
      <c r="BN871" t="s">
        <v>74</v>
      </c>
      <c r="BO871" t="s">
        <v>74</v>
      </c>
      <c r="BP871" t="s">
        <v>74</v>
      </c>
      <c r="BQ871" t="s">
        <v>74</v>
      </c>
      <c r="BR871" t="s">
        <v>98</v>
      </c>
      <c r="BS871" t="s">
        <v>12418</v>
      </c>
      <c r="BT871" t="str">
        <f>HYPERLINK("https%3A%2F%2Fwww.webofscience.com%2Fwos%2Fwoscc%2Ffull-record%2FWOS:000221886500009","View Full Record in Web of Science")</f>
        <v>View Full Record in Web of Science</v>
      </c>
    </row>
    <row r="872" spans="1:72" x14ac:dyDescent="0.15">
      <c r="A872" t="s">
        <v>122</v>
      </c>
      <c r="B872" t="s">
        <v>12419</v>
      </c>
      <c r="C872" t="s">
        <v>74</v>
      </c>
      <c r="D872" t="s">
        <v>74</v>
      </c>
      <c r="E872" t="s">
        <v>74</v>
      </c>
      <c r="F872" t="s">
        <v>12419</v>
      </c>
      <c r="G872" t="s">
        <v>74</v>
      </c>
      <c r="H872" t="s">
        <v>74</v>
      </c>
      <c r="I872" t="s">
        <v>12420</v>
      </c>
      <c r="J872" t="s">
        <v>12340</v>
      </c>
      <c r="K872" t="s">
        <v>74</v>
      </c>
      <c r="L872" t="s">
        <v>74</v>
      </c>
      <c r="M872" t="s">
        <v>79</v>
      </c>
      <c r="N872" t="s">
        <v>126</v>
      </c>
      <c r="O872" t="s">
        <v>74</v>
      </c>
      <c r="P872" t="s">
        <v>74</v>
      </c>
      <c r="Q872" t="s">
        <v>74</v>
      </c>
      <c r="R872" t="s">
        <v>74</v>
      </c>
      <c r="S872" t="s">
        <v>74</v>
      </c>
      <c r="T872" t="s">
        <v>12421</v>
      </c>
      <c r="U872" t="s">
        <v>74</v>
      </c>
      <c r="V872" t="s">
        <v>12422</v>
      </c>
      <c r="W872" t="s">
        <v>12423</v>
      </c>
      <c r="X872" t="s">
        <v>12424</v>
      </c>
      <c r="Y872" t="s">
        <v>12425</v>
      </c>
      <c r="Z872" t="s">
        <v>12426</v>
      </c>
      <c r="AA872" t="s">
        <v>12427</v>
      </c>
      <c r="AB872" t="s">
        <v>12428</v>
      </c>
      <c r="AC872" t="s">
        <v>74</v>
      </c>
      <c r="AD872" t="s">
        <v>74</v>
      </c>
      <c r="AE872" t="s">
        <v>74</v>
      </c>
      <c r="AF872" t="s">
        <v>74</v>
      </c>
      <c r="AG872">
        <v>15</v>
      </c>
      <c r="AH872">
        <v>4</v>
      </c>
      <c r="AI872">
        <v>4</v>
      </c>
      <c r="AJ872">
        <v>0</v>
      </c>
      <c r="AK872">
        <v>2</v>
      </c>
      <c r="AL872" t="s">
        <v>1644</v>
      </c>
      <c r="AM872" t="s">
        <v>1645</v>
      </c>
      <c r="AN872" t="s">
        <v>1646</v>
      </c>
      <c r="AO872" t="s">
        <v>12350</v>
      </c>
      <c r="AP872" t="s">
        <v>12351</v>
      </c>
      <c r="AQ872" t="s">
        <v>74</v>
      </c>
      <c r="AR872" t="s">
        <v>12352</v>
      </c>
      <c r="AS872" t="s">
        <v>12353</v>
      </c>
      <c r="AT872" t="s">
        <v>12291</v>
      </c>
      <c r="AU872">
        <v>2004</v>
      </c>
      <c r="AV872">
        <v>84</v>
      </c>
      <c r="AW872" t="s">
        <v>10466</v>
      </c>
      <c r="AX872" t="s">
        <v>74</v>
      </c>
      <c r="AY872" t="s">
        <v>74</v>
      </c>
      <c r="AZ872" t="s">
        <v>74</v>
      </c>
      <c r="BA872" t="s">
        <v>74</v>
      </c>
      <c r="BB872">
        <v>551</v>
      </c>
      <c r="BC872">
        <v>557</v>
      </c>
      <c r="BD872" t="s">
        <v>74</v>
      </c>
      <c r="BE872" t="s">
        <v>12429</v>
      </c>
      <c r="BF872" t="str">
        <f>HYPERLINK("http://dx.doi.org/10.1080/03067310310001626759","http://dx.doi.org/10.1080/03067310310001626759")</f>
        <v>http://dx.doi.org/10.1080/03067310310001626759</v>
      </c>
      <c r="BG872" t="s">
        <v>74</v>
      </c>
      <c r="BH872" t="s">
        <v>74</v>
      </c>
      <c r="BI872">
        <v>7</v>
      </c>
      <c r="BJ872" t="s">
        <v>12355</v>
      </c>
      <c r="BK872" t="s">
        <v>139</v>
      </c>
      <c r="BL872" t="s">
        <v>12356</v>
      </c>
      <c r="BM872" t="s">
        <v>12357</v>
      </c>
      <c r="BN872" t="s">
        <v>74</v>
      </c>
      <c r="BO872" t="s">
        <v>74</v>
      </c>
      <c r="BP872" t="s">
        <v>74</v>
      </c>
      <c r="BQ872" t="s">
        <v>74</v>
      </c>
      <c r="BR872" t="s">
        <v>98</v>
      </c>
      <c r="BS872" t="s">
        <v>12430</v>
      </c>
      <c r="BT872" t="str">
        <f>HYPERLINK("https%3A%2F%2Fwww.webofscience.com%2Fwos%2Fwoscc%2Ffull-record%2FWOS:000221886500013","View Full Record in Web of Science")</f>
        <v>View Full Record in Web of Science</v>
      </c>
    </row>
    <row r="873" spans="1:72" x14ac:dyDescent="0.15">
      <c r="A873" t="s">
        <v>122</v>
      </c>
      <c r="B873" t="s">
        <v>12431</v>
      </c>
      <c r="C873" t="s">
        <v>74</v>
      </c>
      <c r="D873" t="s">
        <v>74</v>
      </c>
      <c r="E873" t="s">
        <v>74</v>
      </c>
      <c r="F873" t="s">
        <v>12431</v>
      </c>
      <c r="G873" t="s">
        <v>74</v>
      </c>
      <c r="H873" t="s">
        <v>74</v>
      </c>
      <c r="I873" t="s">
        <v>12432</v>
      </c>
      <c r="J873" t="s">
        <v>3291</v>
      </c>
      <c r="K873" t="s">
        <v>74</v>
      </c>
      <c r="L873" t="s">
        <v>74</v>
      </c>
      <c r="M873" t="s">
        <v>79</v>
      </c>
      <c r="N873" t="s">
        <v>126</v>
      </c>
      <c r="O873" t="s">
        <v>74</v>
      </c>
      <c r="P873" t="s">
        <v>74</v>
      </c>
      <c r="Q873" t="s">
        <v>74</v>
      </c>
      <c r="R873" t="s">
        <v>74</v>
      </c>
      <c r="S873" t="s">
        <v>74</v>
      </c>
      <c r="T873" t="s">
        <v>74</v>
      </c>
      <c r="U873" t="s">
        <v>12433</v>
      </c>
      <c r="V873" t="s">
        <v>12434</v>
      </c>
      <c r="W873" t="s">
        <v>12435</v>
      </c>
      <c r="X873" t="s">
        <v>12436</v>
      </c>
      <c r="Y873" t="s">
        <v>12437</v>
      </c>
      <c r="Z873" t="s">
        <v>12438</v>
      </c>
      <c r="AA873" t="s">
        <v>12439</v>
      </c>
      <c r="AB873" t="s">
        <v>12440</v>
      </c>
      <c r="AC873" t="s">
        <v>74</v>
      </c>
      <c r="AD873" t="s">
        <v>74</v>
      </c>
      <c r="AE873" t="s">
        <v>74</v>
      </c>
      <c r="AF873" t="s">
        <v>74</v>
      </c>
      <c r="AG873">
        <v>18</v>
      </c>
      <c r="AH873">
        <v>51</v>
      </c>
      <c r="AI873">
        <v>52</v>
      </c>
      <c r="AJ873">
        <v>0</v>
      </c>
      <c r="AK873">
        <v>9</v>
      </c>
      <c r="AL873" t="s">
        <v>3300</v>
      </c>
      <c r="AM873" t="s">
        <v>375</v>
      </c>
      <c r="AN873" t="s">
        <v>3301</v>
      </c>
      <c r="AO873" t="s">
        <v>3302</v>
      </c>
      <c r="AP873" t="s">
        <v>3303</v>
      </c>
      <c r="AQ873" t="s">
        <v>74</v>
      </c>
      <c r="AR873" t="s">
        <v>3304</v>
      </c>
      <c r="AS873" t="s">
        <v>3305</v>
      </c>
      <c r="AT873" t="s">
        <v>11880</v>
      </c>
      <c r="AU873">
        <v>2004</v>
      </c>
      <c r="AV873">
        <v>54</v>
      </c>
      <c r="AW873" t="s">
        <v>74</v>
      </c>
      <c r="AX873">
        <v>3</v>
      </c>
      <c r="AY873" t="s">
        <v>74</v>
      </c>
      <c r="AZ873" t="s">
        <v>74</v>
      </c>
      <c r="BA873" t="s">
        <v>74</v>
      </c>
      <c r="BB873">
        <v>935</v>
      </c>
      <c r="BC873">
        <v>940</v>
      </c>
      <c r="BD873" t="s">
        <v>74</v>
      </c>
      <c r="BE873" t="s">
        <v>12441</v>
      </c>
      <c r="BF873" t="str">
        <f>HYPERLINK("http://dx.doi.org/10.1099/ijs.0.02733-0","http://dx.doi.org/10.1099/ijs.0.02733-0")</f>
        <v>http://dx.doi.org/10.1099/ijs.0.02733-0</v>
      </c>
      <c r="BG873" t="s">
        <v>74</v>
      </c>
      <c r="BH873" t="s">
        <v>74</v>
      </c>
      <c r="BI873">
        <v>6</v>
      </c>
      <c r="BJ873" t="s">
        <v>1536</v>
      </c>
      <c r="BK873" t="s">
        <v>139</v>
      </c>
      <c r="BL873" t="s">
        <v>1536</v>
      </c>
      <c r="BM873" t="s">
        <v>12442</v>
      </c>
      <c r="BN873">
        <v>15143045</v>
      </c>
      <c r="BO873" t="s">
        <v>74</v>
      </c>
      <c r="BP873" t="s">
        <v>74</v>
      </c>
      <c r="BQ873" t="s">
        <v>74</v>
      </c>
      <c r="BR873" t="s">
        <v>98</v>
      </c>
      <c r="BS873" t="s">
        <v>12443</v>
      </c>
      <c r="BT873" t="str">
        <f>HYPERLINK("https%3A%2F%2Fwww.webofscience.com%2Fwos%2Fwoscc%2Ffull-record%2FWOS:000221579500045","View Full Record in Web of Science")</f>
        <v>View Full Record in Web of Science</v>
      </c>
    </row>
    <row r="874" spans="1:72" x14ac:dyDescent="0.15">
      <c r="A874" t="s">
        <v>122</v>
      </c>
      <c r="B874" t="s">
        <v>12444</v>
      </c>
      <c r="C874" t="s">
        <v>74</v>
      </c>
      <c r="D874" t="s">
        <v>74</v>
      </c>
      <c r="E874" t="s">
        <v>74</v>
      </c>
      <c r="F874" t="s">
        <v>12444</v>
      </c>
      <c r="G874" t="s">
        <v>74</v>
      </c>
      <c r="H874" t="s">
        <v>74</v>
      </c>
      <c r="I874" t="s">
        <v>12445</v>
      </c>
      <c r="J874" t="s">
        <v>12446</v>
      </c>
      <c r="K874" t="s">
        <v>74</v>
      </c>
      <c r="L874" t="s">
        <v>74</v>
      </c>
      <c r="M874" t="s">
        <v>79</v>
      </c>
      <c r="N874" t="s">
        <v>126</v>
      </c>
      <c r="O874" t="s">
        <v>74</v>
      </c>
      <c r="P874" t="s">
        <v>74</v>
      </c>
      <c r="Q874" t="s">
        <v>74</v>
      </c>
      <c r="R874" t="s">
        <v>74</v>
      </c>
      <c r="S874" t="s">
        <v>74</v>
      </c>
      <c r="T874" t="s">
        <v>12447</v>
      </c>
      <c r="U874" t="s">
        <v>12448</v>
      </c>
      <c r="V874" t="s">
        <v>12449</v>
      </c>
      <c r="W874" t="s">
        <v>12450</v>
      </c>
      <c r="X874" t="s">
        <v>12451</v>
      </c>
      <c r="Y874" t="s">
        <v>12452</v>
      </c>
      <c r="Z874" t="s">
        <v>12453</v>
      </c>
      <c r="AA874" t="s">
        <v>12454</v>
      </c>
      <c r="AB874" t="s">
        <v>12455</v>
      </c>
      <c r="AC874" t="s">
        <v>74</v>
      </c>
      <c r="AD874" t="s">
        <v>74</v>
      </c>
      <c r="AE874" t="s">
        <v>74</v>
      </c>
      <c r="AF874" t="s">
        <v>74</v>
      </c>
      <c r="AG874">
        <v>38</v>
      </c>
      <c r="AH874">
        <v>7</v>
      </c>
      <c r="AI874">
        <v>7</v>
      </c>
      <c r="AJ874">
        <v>0</v>
      </c>
      <c r="AK874">
        <v>8</v>
      </c>
      <c r="AL874" t="s">
        <v>1509</v>
      </c>
      <c r="AM874" t="s">
        <v>1510</v>
      </c>
      <c r="AN874" t="s">
        <v>1511</v>
      </c>
      <c r="AO874" t="s">
        <v>12456</v>
      </c>
      <c r="AP874" t="s">
        <v>12457</v>
      </c>
      <c r="AQ874" t="s">
        <v>74</v>
      </c>
      <c r="AR874" t="s">
        <v>12458</v>
      </c>
      <c r="AS874" t="s">
        <v>12459</v>
      </c>
      <c r="AT874" t="s">
        <v>11880</v>
      </c>
      <c r="AU874">
        <v>2004</v>
      </c>
      <c r="AV874">
        <v>48</v>
      </c>
      <c r="AW874">
        <v>1</v>
      </c>
      <c r="AX874" t="s">
        <v>74</v>
      </c>
      <c r="AY874" t="s">
        <v>74</v>
      </c>
      <c r="AZ874" t="s">
        <v>74</v>
      </c>
      <c r="BA874" t="s">
        <v>74</v>
      </c>
      <c r="BB874">
        <v>35</v>
      </c>
      <c r="BC874">
        <v>57</v>
      </c>
      <c r="BD874" t="s">
        <v>74</v>
      </c>
      <c r="BE874" t="s">
        <v>12460</v>
      </c>
      <c r="BF874" t="str">
        <f>HYPERLINK("http://dx.doi.org/10.1023/B:JOCH.0000034508.13326.cd","http://dx.doi.org/10.1023/B:JOCH.0000034508.13326.cd")</f>
        <v>http://dx.doi.org/10.1023/B:JOCH.0000034508.13326.cd</v>
      </c>
      <c r="BG874" t="s">
        <v>74</v>
      </c>
      <c r="BH874" t="s">
        <v>74</v>
      </c>
      <c r="BI874">
        <v>23</v>
      </c>
      <c r="BJ874" t="s">
        <v>832</v>
      </c>
      <c r="BK874" t="s">
        <v>139</v>
      </c>
      <c r="BL874" t="s">
        <v>833</v>
      </c>
      <c r="BM874" t="s">
        <v>12461</v>
      </c>
      <c r="BN874" t="s">
        <v>74</v>
      </c>
      <c r="BO874" t="s">
        <v>74</v>
      </c>
      <c r="BP874" t="s">
        <v>74</v>
      </c>
      <c r="BQ874" t="s">
        <v>74</v>
      </c>
      <c r="BR874" t="s">
        <v>98</v>
      </c>
      <c r="BS874" t="s">
        <v>12462</v>
      </c>
      <c r="BT874" t="str">
        <f>HYPERLINK("https%3A%2F%2Fwww.webofscience.com%2Fwos%2Fwoscc%2Ffull-record%2FWOS:000222603900002","View Full Record in Web of Science")</f>
        <v>View Full Record in Web of Science</v>
      </c>
    </row>
    <row r="875" spans="1:72" x14ac:dyDescent="0.15">
      <c r="A875" t="s">
        <v>122</v>
      </c>
      <c r="B875" t="s">
        <v>12463</v>
      </c>
      <c r="C875" t="s">
        <v>74</v>
      </c>
      <c r="D875" t="s">
        <v>74</v>
      </c>
      <c r="E875" t="s">
        <v>74</v>
      </c>
      <c r="F875" t="s">
        <v>12463</v>
      </c>
      <c r="G875" t="s">
        <v>74</v>
      </c>
      <c r="H875" t="s">
        <v>74</v>
      </c>
      <c r="I875" t="s">
        <v>12464</v>
      </c>
      <c r="J875" t="s">
        <v>12446</v>
      </c>
      <c r="K875" t="s">
        <v>74</v>
      </c>
      <c r="L875" t="s">
        <v>74</v>
      </c>
      <c r="M875" t="s">
        <v>79</v>
      </c>
      <c r="N875" t="s">
        <v>126</v>
      </c>
      <c r="O875" t="s">
        <v>74</v>
      </c>
      <c r="P875" t="s">
        <v>74</v>
      </c>
      <c r="Q875" t="s">
        <v>74</v>
      </c>
      <c r="R875" t="s">
        <v>74</v>
      </c>
      <c r="S875" t="s">
        <v>74</v>
      </c>
      <c r="T875" t="s">
        <v>12465</v>
      </c>
      <c r="U875" t="s">
        <v>12466</v>
      </c>
      <c r="V875" t="s">
        <v>12467</v>
      </c>
      <c r="W875" t="s">
        <v>12468</v>
      </c>
      <c r="X875" t="s">
        <v>12469</v>
      </c>
      <c r="Y875" t="s">
        <v>12470</v>
      </c>
      <c r="Z875" t="s">
        <v>12471</v>
      </c>
      <c r="AA875" t="s">
        <v>74</v>
      </c>
      <c r="AB875" t="s">
        <v>12472</v>
      </c>
      <c r="AC875" t="s">
        <v>74</v>
      </c>
      <c r="AD875" t="s">
        <v>74</v>
      </c>
      <c r="AE875" t="s">
        <v>74</v>
      </c>
      <c r="AF875" t="s">
        <v>74</v>
      </c>
      <c r="AG875">
        <v>64</v>
      </c>
      <c r="AH875">
        <v>22</v>
      </c>
      <c r="AI875">
        <v>24</v>
      </c>
      <c r="AJ875">
        <v>2</v>
      </c>
      <c r="AK875">
        <v>33</v>
      </c>
      <c r="AL875" t="s">
        <v>1509</v>
      </c>
      <c r="AM875" t="s">
        <v>1510</v>
      </c>
      <c r="AN875" t="s">
        <v>1511</v>
      </c>
      <c r="AO875" t="s">
        <v>12456</v>
      </c>
      <c r="AP875" t="s">
        <v>12457</v>
      </c>
      <c r="AQ875" t="s">
        <v>74</v>
      </c>
      <c r="AR875" t="s">
        <v>12458</v>
      </c>
      <c r="AS875" t="s">
        <v>12459</v>
      </c>
      <c r="AT875" t="s">
        <v>11880</v>
      </c>
      <c r="AU875">
        <v>2004</v>
      </c>
      <c r="AV875">
        <v>48</v>
      </c>
      <c r="AW875">
        <v>1</v>
      </c>
      <c r="AX875" t="s">
        <v>74</v>
      </c>
      <c r="AY875" t="s">
        <v>74</v>
      </c>
      <c r="AZ875" t="s">
        <v>74</v>
      </c>
      <c r="BA875" t="s">
        <v>74</v>
      </c>
      <c r="BB875">
        <v>81</v>
      </c>
      <c r="BC875">
        <v>104</v>
      </c>
      <c r="BD875" t="s">
        <v>74</v>
      </c>
      <c r="BE875" t="s">
        <v>12473</v>
      </c>
      <c r="BF875" t="str">
        <f>HYPERLINK("http://dx.doi.org/10.1023/B:JOCH.0000034516.95400.c3","http://dx.doi.org/10.1023/B:JOCH.0000034516.95400.c3")</f>
        <v>http://dx.doi.org/10.1023/B:JOCH.0000034516.95400.c3</v>
      </c>
      <c r="BG875" t="s">
        <v>74</v>
      </c>
      <c r="BH875" t="s">
        <v>74</v>
      </c>
      <c r="BI875">
        <v>24</v>
      </c>
      <c r="BJ875" t="s">
        <v>832</v>
      </c>
      <c r="BK875" t="s">
        <v>139</v>
      </c>
      <c r="BL875" t="s">
        <v>833</v>
      </c>
      <c r="BM875" t="s">
        <v>12461</v>
      </c>
      <c r="BN875" t="s">
        <v>74</v>
      </c>
      <c r="BO875" t="s">
        <v>988</v>
      </c>
      <c r="BP875" t="s">
        <v>74</v>
      </c>
      <c r="BQ875" t="s">
        <v>74</v>
      </c>
      <c r="BR875" t="s">
        <v>98</v>
      </c>
      <c r="BS875" t="s">
        <v>12474</v>
      </c>
      <c r="BT875" t="str">
        <f>HYPERLINK("https%3A%2F%2Fwww.webofscience.com%2Fwos%2Fwoscc%2Ffull-record%2FWOS:000222603900004","View Full Record in Web of Science")</f>
        <v>View Full Record in Web of Science</v>
      </c>
    </row>
    <row r="876" spans="1:72" x14ac:dyDescent="0.15">
      <c r="A876" t="s">
        <v>122</v>
      </c>
      <c r="B876" t="s">
        <v>12475</v>
      </c>
      <c r="C876" t="s">
        <v>74</v>
      </c>
      <c r="D876" t="s">
        <v>74</v>
      </c>
      <c r="E876" t="s">
        <v>74</v>
      </c>
      <c r="F876" t="s">
        <v>12475</v>
      </c>
      <c r="G876" t="s">
        <v>74</v>
      </c>
      <c r="H876" t="s">
        <v>74</v>
      </c>
      <c r="I876" t="s">
        <v>12476</v>
      </c>
      <c r="J876" t="s">
        <v>1562</v>
      </c>
      <c r="K876" t="s">
        <v>74</v>
      </c>
      <c r="L876" t="s">
        <v>74</v>
      </c>
      <c r="M876" t="s">
        <v>79</v>
      </c>
      <c r="N876" t="s">
        <v>126</v>
      </c>
      <c r="O876" t="s">
        <v>74</v>
      </c>
      <c r="P876" t="s">
        <v>74</v>
      </c>
      <c r="Q876" t="s">
        <v>74</v>
      </c>
      <c r="R876" t="s">
        <v>74</v>
      </c>
      <c r="S876" t="s">
        <v>74</v>
      </c>
      <c r="T876" t="s">
        <v>74</v>
      </c>
      <c r="U876" t="s">
        <v>12477</v>
      </c>
      <c r="V876" t="s">
        <v>12478</v>
      </c>
      <c r="W876" t="s">
        <v>12479</v>
      </c>
      <c r="X876" t="s">
        <v>12480</v>
      </c>
      <c r="Y876" t="s">
        <v>12481</v>
      </c>
      <c r="Z876" t="s">
        <v>12482</v>
      </c>
      <c r="AA876" t="s">
        <v>12483</v>
      </c>
      <c r="AB876" t="s">
        <v>12484</v>
      </c>
      <c r="AC876" t="s">
        <v>74</v>
      </c>
      <c r="AD876" t="s">
        <v>74</v>
      </c>
      <c r="AE876" t="s">
        <v>74</v>
      </c>
      <c r="AF876" t="s">
        <v>74</v>
      </c>
      <c r="AG876">
        <v>75</v>
      </c>
      <c r="AH876">
        <v>71</v>
      </c>
      <c r="AI876">
        <v>78</v>
      </c>
      <c r="AJ876">
        <v>0</v>
      </c>
      <c r="AK876">
        <v>12</v>
      </c>
      <c r="AL876" t="s">
        <v>1571</v>
      </c>
      <c r="AM876" t="s">
        <v>1572</v>
      </c>
      <c r="AN876" t="s">
        <v>1573</v>
      </c>
      <c r="AO876" t="s">
        <v>1574</v>
      </c>
      <c r="AP876" t="s">
        <v>1575</v>
      </c>
      <c r="AQ876" t="s">
        <v>74</v>
      </c>
      <c r="AR876" t="s">
        <v>1576</v>
      </c>
      <c r="AS876" t="s">
        <v>1577</v>
      </c>
      <c r="AT876" t="s">
        <v>11880</v>
      </c>
      <c r="AU876">
        <v>2004</v>
      </c>
      <c r="AV876">
        <v>17</v>
      </c>
      <c r="AW876">
        <v>10</v>
      </c>
      <c r="AX876" t="s">
        <v>74</v>
      </c>
      <c r="AY876" t="s">
        <v>74</v>
      </c>
      <c r="AZ876" t="s">
        <v>74</v>
      </c>
      <c r="BA876" t="s">
        <v>74</v>
      </c>
      <c r="BB876">
        <v>1914</v>
      </c>
      <c r="BC876">
        <v>1928</v>
      </c>
      <c r="BD876" t="s">
        <v>74</v>
      </c>
      <c r="BE876" t="s">
        <v>12485</v>
      </c>
      <c r="BF876" t="str">
        <f>HYPERLINK("http://dx.doi.org/10.1175/1520-0442(2004)017&lt;1914:POTIEA&gt;2.0.CO;2","http://dx.doi.org/10.1175/1520-0442(2004)017&lt;1914:POTIEA&gt;2.0.CO;2")</f>
        <v>http://dx.doi.org/10.1175/1520-0442(2004)017&lt;1914:POTIEA&gt;2.0.CO;2</v>
      </c>
      <c r="BG876" t="s">
        <v>74</v>
      </c>
      <c r="BH876" t="s">
        <v>74</v>
      </c>
      <c r="BI876">
        <v>15</v>
      </c>
      <c r="BJ876" t="s">
        <v>291</v>
      </c>
      <c r="BK876" t="s">
        <v>139</v>
      </c>
      <c r="BL876" t="s">
        <v>291</v>
      </c>
      <c r="BM876" t="s">
        <v>12486</v>
      </c>
      <c r="BN876" t="s">
        <v>74</v>
      </c>
      <c r="BO876" t="s">
        <v>273</v>
      </c>
      <c r="BP876" t="s">
        <v>74</v>
      </c>
      <c r="BQ876" t="s">
        <v>74</v>
      </c>
      <c r="BR876" t="s">
        <v>98</v>
      </c>
      <c r="BS876" t="s">
        <v>12487</v>
      </c>
      <c r="BT876" t="str">
        <f>HYPERLINK("https%3A%2F%2Fwww.webofscience.com%2Fwos%2Fwoscc%2Ffull-record%2FWOS:000221272400002","View Full Record in Web of Science")</f>
        <v>View Full Record in Web of Science</v>
      </c>
    </row>
    <row r="877" spans="1:72" x14ac:dyDescent="0.15">
      <c r="A877" t="s">
        <v>122</v>
      </c>
      <c r="B877" t="s">
        <v>12488</v>
      </c>
      <c r="C877" t="s">
        <v>74</v>
      </c>
      <c r="D877" t="s">
        <v>74</v>
      </c>
      <c r="E877" t="s">
        <v>74</v>
      </c>
      <c r="F877" t="s">
        <v>12488</v>
      </c>
      <c r="G877" t="s">
        <v>74</v>
      </c>
      <c r="H877" t="s">
        <v>74</v>
      </c>
      <c r="I877" t="s">
        <v>12489</v>
      </c>
      <c r="J877" t="s">
        <v>1562</v>
      </c>
      <c r="K877" t="s">
        <v>74</v>
      </c>
      <c r="L877" t="s">
        <v>74</v>
      </c>
      <c r="M877" t="s">
        <v>79</v>
      </c>
      <c r="N877" t="s">
        <v>126</v>
      </c>
      <c r="O877" t="s">
        <v>74</v>
      </c>
      <c r="P877" t="s">
        <v>74</v>
      </c>
      <c r="Q877" t="s">
        <v>74</v>
      </c>
      <c r="R877" t="s">
        <v>74</v>
      </c>
      <c r="S877" t="s">
        <v>74</v>
      </c>
      <c r="T877" t="s">
        <v>74</v>
      </c>
      <c r="U877" t="s">
        <v>12490</v>
      </c>
      <c r="V877" t="s">
        <v>12491</v>
      </c>
      <c r="W877" t="s">
        <v>12492</v>
      </c>
      <c r="X877" t="s">
        <v>12008</v>
      </c>
      <c r="Y877" t="s">
        <v>12493</v>
      </c>
      <c r="Z877" t="s">
        <v>12494</v>
      </c>
      <c r="AA877" t="s">
        <v>12495</v>
      </c>
      <c r="AB877" t="s">
        <v>12496</v>
      </c>
      <c r="AC877" t="s">
        <v>74</v>
      </c>
      <c r="AD877" t="s">
        <v>74</v>
      </c>
      <c r="AE877" t="s">
        <v>74</v>
      </c>
      <c r="AF877" t="s">
        <v>74</v>
      </c>
      <c r="AG877">
        <v>84</v>
      </c>
      <c r="AH877">
        <v>26</v>
      </c>
      <c r="AI877">
        <v>31</v>
      </c>
      <c r="AJ877">
        <v>0</v>
      </c>
      <c r="AK877">
        <v>12</v>
      </c>
      <c r="AL877" t="s">
        <v>1571</v>
      </c>
      <c r="AM877" t="s">
        <v>1572</v>
      </c>
      <c r="AN877" t="s">
        <v>1573</v>
      </c>
      <c r="AO877" t="s">
        <v>1574</v>
      </c>
      <c r="AP877" t="s">
        <v>1575</v>
      </c>
      <c r="AQ877" t="s">
        <v>74</v>
      </c>
      <c r="AR877" t="s">
        <v>1576</v>
      </c>
      <c r="AS877" t="s">
        <v>1577</v>
      </c>
      <c r="AT877" t="s">
        <v>11880</v>
      </c>
      <c r="AU877">
        <v>2004</v>
      </c>
      <c r="AV877">
        <v>17</v>
      </c>
      <c r="AW877">
        <v>10</v>
      </c>
      <c r="AX877" t="s">
        <v>74</v>
      </c>
      <c r="AY877" t="s">
        <v>74</v>
      </c>
      <c r="AZ877" t="s">
        <v>74</v>
      </c>
      <c r="BA877" t="s">
        <v>74</v>
      </c>
      <c r="BB877">
        <v>1929</v>
      </c>
      <c r="BC877">
        <v>1944</v>
      </c>
      <c r="BD877" t="s">
        <v>74</v>
      </c>
      <c r="BE877" t="s">
        <v>12497</v>
      </c>
      <c r="BF877" t="str">
        <f>HYPERLINK("http://dx.doi.org/10.1175/1520-0442(2004)017&lt;1929:COMCV&gt;2.0.CO;2","http://dx.doi.org/10.1175/1520-0442(2004)017&lt;1929:COMCV&gt;2.0.CO;2")</f>
        <v>http://dx.doi.org/10.1175/1520-0442(2004)017&lt;1929:COMCV&gt;2.0.CO;2</v>
      </c>
      <c r="BG877" t="s">
        <v>74</v>
      </c>
      <c r="BH877" t="s">
        <v>74</v>
      </c>
      <c r="BI877">
        <v>16</v>
      </c>
      <c r="BJ877" t="s">
        <v>291</v>
      </c>
      <c r="BK877" t="s">
        <v>139</v>
      </c>
      <c r="BL877" t="s">
        <v>291</v>
      </c>
      <c r="BM877" t="s">
        <v>12486</v>
      </c>
      <c r="BN877" t="s">
        <v>74</v>
      </c>
      <c r="BO877" t="s">
        <v>273</v>
      </c>
      <c r="BP877" t="s">
        <v>74</v>
      </c>
      <c r="BQ877" t="s">
        <v>74</v>
      </c>
      <c r="BR877" t="s">
        <v>98</v>
      </c>
      <c r="BS877" t="s">
        <v>12498</v>
      </c>
      <c r="BT877" t="str">
        <f>HYPERLINK("https%3A%2F%2Fwww.webofscience.com%2Fwos%2Fwoscc%2Ffull-record%2FWOS:000221272400003","View Full Record in Web of Science")</f>
        <v>View Full Record in Web of Science</v>
      </c>
    </row>
    <row r="878" spans="1:72" x14ac:dyDescent="0.15">
      <c r="A878" t="s">
        <v>122</v>
      </c>
      <c r="B878" t="s">
        <v>12499</v>
      </c>
      <c r="C878" t="s">
        <v>74</v>
      </c>
      <c r="D878" t="s">
        <v>74</v>
      </c>
      <c r="E878" t="s">
        <v>74</v>
      </c>
      <c r="F878" t="s">
        <v>12499</v>
      </c>
      <c r="G878" t="s">
        <v>74</v>
      </c>
      <c r="H878" t="s">
        <v>74</v>
      </c>
      <c r="I878" t="s">
        <v>12500</v>
      </c>
      <c r="J878" t="s">
        <v>643</v>
      </c>
      <c r="K878" t="s">
        <v>74</v>
      </c>
      <c r="L878" t="s">
        <v>74</v>
      </c>
      <c r="M878" t="s">
        <v>79</v>
      </c>
      <c r="N878" t="s">
        <v>126</v>
      </c>
      <c r="O878" t="s">
        <v>74</v>
      </c>
      <c r="P878" t="s">
        <v>74</v>
      </c>
      <c r="Q878" t="s">
        <v>74</v>
      </c>
      <c r="R878" t="s">
        <v>74</v>
      </c>
      <c r="S878" t="s">
        <v>74</v>
      </c>
      <c r="T878" t="s">
        <v>12501</v>
      </c>
      <c r="U878" t="s">
        <v>12502</v>
      </c>
      <c r="V878" t="s">
        <v>12503</v>
      </c>
      <c r="W878" t="s">
        <v>12504</v>
      </c>
      <c r="X878" t="s">
        <v>12505</v>
      </c>
      <c r="Y878" t="s">
        <v>12506</v>
      </c>
      <c r="Z878" t="s">
        <v>12507</v>
      </c>
      <c r="AA878" t="s">
        <v>12508</v>
      </c>
      <c r="AB878" t="s">
        <v>12509</v>
      </c>
      <c r="AC878" t="s">
        <v>74</v>
      </c>
      <c r="AD878" t="s">
        <v>74</v>
      </c>
      <c r="AE878" t="s">
        <v>74</v>
      </c>
      <c r="AF878" t="s">
        <v>74</v>
      </c>
      <c r="AG878">
        <v>19</v>
      </c>
      <c r="AH878">
        <v>13</v>
      </c>
      <c r="AI878">
        <v>13</v>
      </c>
      <c r="AJ878">
        <v>0</v>
      </c>
      <c r="AK878">
        <v>3</v>
      </c>
      <c r="AL878" t="s">
        <v>239</v>
      </c>
      <c r="AM878" t="s">
        <v>240</v>
      </c>
      <c r="AN878" t="s">
        <v>241</v>
      </c>
      <c r="AO878" t="s">
        <v>653</v>
      </c>
      <c r="AP878" t="s">
        <v>654</v>
      </c>
      <c r="AQ878" t="s">
        <v>74</v>
      </c>
      <c r="AR878" t="s">
        <v>655</v>
      </c>
      <c r="AS878" t="s">
        <v>656</v>
      </c>
      <c r="AT878" t="s">
        <v>12256</v>
      </c>
      <c r="AU878">
        <v>2004</v>
      </c>
      <c r="AV878">
        <v>109</v>
      </c>
      <c r="AW878" t="s">
        <v>11632</v>
      </c>
      <c r="AX878" t="s">
        <v>74</v>
      </c>
      <c r="AY878" t="s">
        <v>74</v>
      </c>
      <c r="AZ878" t="s">
        <v>74</v>
      </c>
      <c r="BA878" t="s">
        <v>74</v>
      </c>
      <c r="BB878" t="s">
        <v>74</v>
      </c>
      <c r="BC878" t="s">
        <v>74</v>
      </c>
      <c r="BD878" t="s">
        <v>12510</v>
      </c>
      <c r="BE878" t="s">
        <v>12511</v>
      </c>
      <c r="BF878" t="str">
        <f>HYPERLINK("http://dx.doi.org/10.1029/2003JC002010","http://dx.doi.org/10.1029/2003JC002010")</f>
        <v>http://dx.doi.org/10.1029/2003JC002010</v>
      </c>
      <c r="BG878" t="s">
        <v>74</v>
      </c>
      <c r="BH878" t="s">
        <v>74</v>
      </c>
      <c r="BI878">
        <v>14</v>
      </c>
      <c r="BJ878" t="s">
        <v>660</v>
      </c>
      <c r="BK878" t="s">
        <v>139</v>
      </c>
      <c r="BL878" t="s">
        <v>660</v>
      </c>
      <c r="BM878" t="s">
        <v>12512</v>
      </c>
      <c r="BN878" t="s">
        <v>74</v>
      </c>
      <c r="BO878" t="s">
        <v>273</v>
      </c>
      <c r="BP878" t="s">
        <v>74</v>
      </c>
      <c r="BQ878" t="s">
        <v>74</v>
      </c>
      <c r="BR878" t="s">
        <v>98</v>
      </c>
      <c r="BS878" t="s">
        <v>12513</v>
      </c>
      <c r="BT878" t="str">
        <f>HYPERLINK("https%3A%2F%2Fwww.webofscience.com%2Fwos%2Fwoscc%2Ffull-record%2FWOS:000221325600001","View Full Record in Web of Science")</f>
        <v>View Full Record in Web of Science</v>
      </c>
    </row>
    <row r="879" spans="1:72" x14ac:dyDescent="0.15">
      <c r="A879" t="s">
        <v>122</v>
      </c>
      <c r="B879" t="s">
        <v>12514</v>
      </c>
      <c r="C879" t="s">
        <v>74</v>
      </c>
      <c r="D879" t="s">
        <v>74</v>
      </c>
      <c r="E879" t="s">
        <v>74</v>
      </c>
      <c r="F879" t="s">
        <v>12514</v>
      </c>
      <c r="G879" t="s">
        <v>74</v>
      </c>
      <c r="H879" t="s">
        <v>74</v>
      </c>
      <c r="I879" t="s">
        <v>12515</v>
      </c>
      <c r="J879" t="s">
        <v>12516</v>
      </c>
      <c r="K879" t="s">
        <v>74</v>
      </c>
      <c r="L879" t="s">
        <v>74</v>
      </c>
      <c r="M879" t="s">
        <v>79</v>
      </c>
      <c r="N879" t="s">
        <v>126</v>
      </c>
      <c r="O879" t="s">
        <v>74</v>
      </c>
      <c r="P879" t="s">
        <v>74</v>
      </c>
      <c r="Q879" t="s">
        <v>74</v>
      </c>
      <c r="R879" t="s">
        <v>74</v>
      </c>
      <c r="S879" t="s">
        <v>74</v>
      </c>
      <c r="T879" t="s">
        <v>74</v>
      </c>
      <c r="U879" t="s">
        <v>12517</v>
      </c>
      <c r="V879" t="s">
        <v>12518</v>
      </c>
      <c r="W879" t="s">
        <v>12519</v>
      </c>
      <c r="X879" t="s">
        <v>12520</v>
      </c>
      <c r="Y879" t="s">
        <v>12521</v>
      </c>
      <c r="Z879" t="s">
        <v>12522</v>
      </c>
      <c r="AA879" t="s">
        <v>74</v>
      </c>
      <c r="AB879" t="s">
        <v>11020</v>
      </c>
      <c r="AC879" t="s">
        <v>74</v>
      </c>
      <c r="AD879" t="s">
        <v>74</v>
      </c>
      <c r="AE879" t="s">
        <v>74</v>
      </c>
      <c r="AF879" t="s">
        <v>74</v>
      </c>
      <c r="AG879">
        <v>52</v>
      </c>
      <c r="AH879">
        <v>97</v>
      </c>
      <c r="AI879">
        <v>111</v>
      </c>
      <c r="AJ879">
        <v>0</v>
      </c>
      <c r="AK879">
        <v>3</v>
      </c>
      <c r="AL879" t="s">
        <v>12523</v>
      </c>
      <c r="AM879" t="s">
        <v>12524</v>
      </c>
      <c r="AN879" t="s">
        <v>12525</v>
      </c>
      <c r="AO879" t="s">
        <v>12526</v>
      </c>
      <c r="AP879" t="s">
        <v>12527</v>
      </c>
      <c r="AQ879" t="s">
        <v>74</v>
      </c>
      <c r="AR879" t="s">
        <v>12528</v>
      </c>
      <c r="AS879" t="s">
        <v>12529</v>
      </c>
      <c r="AT879" t="s">
        <v>11880</v>
      </c>
      <c r="AU879">
        <v>2004</v>
      </c>
      <c r="AV879">
        <v>62</v>
      </c>
      <c r="AW879">
        <v>3</v>
      </c>
      <c r="AX879" t="s">
        <v>74</v>
      </c>
      <c r="AY879" t="s">
        <v>74</v>
      </c>
      <c r="AZ879" t="s">
        <v>74</v>
      </c>
      <c r="BA879" t="s">
        <v>74</v>
      </c>
      <c r="BB879">
        <v>419</v>
      </c>
      <c r="BC879">
        <v>460</v>
      </c>
      <c r="BD879" t="s">
        <v>74</v>
      </c>
      <c r="BE879" t="s">
        <v>12530</v>
      </c>
      <c r="BF879" t="str">
        <f>HYPERLINK("http://dx.doi.org/10.1357/0022240041446173","http://dx.doi.org/10.1357/0022240041446173")</f>
        <v>http://dx.doi.org/10.1357/0022240041446173</v>
      </c>
      <c r="BG879" t="s">
        <v>74</v>
      </c>
      <c r="BH879" t="s">
        <v>74</v>
      </c>
      <c r="BI879">
        <v>42</v>
      </c>
      <c r="BJ879" t="s">
        <v>660</v>
      </c>
      <c r="BK879" t="s">
        <v>139</v>
      </c>
      <c r="BL879" t="s">
        <v>660</v>
      </c>
      <c r="BM879" t="s">
        <v>12531</v>
      </c>
      <c r="BN879" t="s">
        <v>74</v>
      </c>
      <c r="BO879" t="s">
        <v>988</v>
      </c>
      <c r="BP879" t="s">
        <v>74</v>
      </c>
      <c r="BQ879" t="s">
        <v>74</v>
      </c>
      <c r="BR879" t="s">
        <v>98</v>
      </c>
      <c r="BS879" t="s">
        <v>12532</v>
      </c>
      <c r="BT879" t="str">
        <f>HYPERLINK("https%3A%2F%2Fwww.webofscience.com%2Fwos%2Fwoscc%2Ffull-record%2FWOS:000222859800005","View Full Record in Web of Science")</f>
        <v>View Full Record in Web of Science</v>
      </c>
    </row>
    <row r="880" spans="1:72" x14ac:dyDescent="0.15">
      <c r="A880" t="s">
        <v>122</v>
      </c>
      <c r="B880" t="s">
        <v>12533</v>
      </c>
      <c r="C880" t="s">
        <v>74</v>
      </c>
      <c r="D880" t="s">
        <v>74</v>
      </c>
      <c r="E880" t="s">
        <v>74</v>
      </c>
      <c r="F880" t="s">
        <v>12533</v>
      </c>
      <c r="G880" t="s">
        <v>74</v>
      </c>
      <c r="H880" t="s">
        <v>74</v>
      </c>
      <c r="I880" t="s">
        <v>12534</v>
      </c>
      <c r="J880" t="s">
        <v>4632</v>
      </c>
      <c r="K880" t="s">
        <v>74</v>
      </c>
      <c r="L880" t="s">
        <v>74</v>
      </c>
      <c r="M880" t="s">
        <v>79</v>
      </c>
      <c r="N880" t="s">
        <v>126</v>
      </c>
      <c r="O880" t="s">
        <v>74</v>
      </c>
      <c r="P880" t="s">
        <v>74</v>
      </c>
      <c r="Q880" t="s">
        <v>74</v>
      </c>
      <c r="R880" t="s">
        <v>74</v>
      </c>
      <c r="S880" t="s">
        <v>74</v>
      </c>
      <c r="T880" t="s">
        <v>12535</v>
      </c>
      <c r="U880" t="s">
        <v>12536</v>
      </c>
      <c r="V880" t="s">
        <v>12537</v>
      </c>
      <c r="W880" t="s">
        <v>12538</v>
      </c>
      <c r="X880" t="s">
        <v>12539</v>
      </c>
      <c r="Y880" t="s">
        <v>12540</v>
      </c>
      <c r="Z880" t="s">
        <v>12541</v>
      </c>
      <c r="AA880" t="s">
        <v>74</v>
      </c>
      <c r="AB880" t="s">
        <v>74</v>
      </c>
      <c r="AC880" t="s">
        <v>74</v>
      </c>
      <c r="AD880" t="s">
        <v>74</v>
      </c>
      <c r="AE880" t="s">
        <v>74</v>
      </c>
      <c r="AF880" t="s">
        <v>74</v>
      </c>
      <c r="AG880">
        <v>26</v>
      </c>
      <c r="AH880">
        <v>53</v>
      </c>
      <c r="AI880">
        <v>56</v>
      </c>
      <c r="AJ880">
        <v>0</v>
      </c>
      <c r="AK880">
        <v>11</v>
      </c>
      <c r="AL880" t="s">
        <v>562</v>
      </c>
      <c r="AM880" t="s">
        <v>532</v>
      </c>
      <c r="AN880" t="s">
        <v>563</v>
      </c>
      <c r="AO880" t="s">
        <v>4640</v>
      </c>
      <c r="AP880" t="s">
        <v>74</v>
      </c>
      <c r="AQ880" t="s">
        <v>74</v>
      </c>
      <c r="AR880" t="s">
        <v>4641</v>
      </c>
      <c r="AS880" t="s">
        <v>4642</v>
      </c>
      <c r="AT880" t="s">
        <v>11880</v>
      </c>
      <c r="AU880">
        <v>2004</v>
      </c>
      <c r="AV880">
        <v>46</v>
      </c>
      <c r="AW880" t="s">
        <v>595</v>
      </c>
      <c r="AX880" t="s">
        <v>74</v>
      </c>
      <c r="AY880" t="s">
        <v>74</v>
      </c>
      <c r="AZ880" t="s">
        <v>74</v>
      </c>
      <c r="BA880" t="s">
        <v>74</v>
      </c>
      <c r="BB880">
        <v>169</v>
      </c>
      <c r="BC880">
        <v>179</v>
      </c>
      <c r="BD880" t="s">
        <v>74</v>
      </c>
      <c r="BE880" t="s">
        <v>12542</v>
      </c>
      <c r="BF880" t="str">
        <f>HYPERLINK("http://dx.doi.org/10.1016/j.jmarsys.2003.11.016","http://dx.doi.org/10.1016/j.jmarsys.2003.11.016")</f>
        <v>http://dx.doi.org/10.1016/j.jmarsys.2003.11.016</v>
      </c>
      <c r="BG880" t="s">
        <v>74</v>
      </c>
      <c r="BH880" t="s">
        <v>74</v>
      </c>
      <c r="BI880">
        <v>11</v>
      </c>
      <c r="BJ880" t="s">
        <v>4644</v>
      </c>
      <c r="BK880" t="s">
        <v>139</v>
      </c>
      <c r="BL880" t="s">
        <v>4645</v>
      </c>
      <c r="BM880" t="s">
        <v>12543</v>
      </c>
      <c r="BN880" t="s">
        <v>74</v>
      </c>
      <c r="BO880" t="s">
        <v>74</v>
      </c>
      <c r="BP880" t="s">
        <v>74</v>
      </c>
      <c r="BQ880" t="s">
        <v>74</v>
      </c>
      <c r="BR880" t="s">
        <v>98</v>
      </c>
      <c r="BS880" t="s">
        <v>12544</v>
      </c>
      <c r="BT880" t="str">
        <f>HYPERLINK("https%3A%2F%2Fwww.webofscience.com%2Fwos%2Fwoscc%2Ffull-record%2FWOS:000221075500012","View Full Record in Web of Science")</f>
        <v>View Full Record in Web of Science</v>
      </c>
    </row>
    <row r="881" spans="1:72" x14ac:dyDescent="0.15">
      <c r="A881" t="s">
        <v>122</v>
      </c>
      <c r="B881" t="s">
        <v>12545</v>
      </c>
      <c r="C881" t="s">
        <v>74</v>
      </c>
      <c r="D881" t="s">
        <v>74</v>
      </c>
      <c r="E881" t="s">
        <v>74</v>
      </c>
      <c r="F881" t="s">
        <v>12545</v>
      </c>
      <c r="G881" t="s">
        <v>74</v>
      </c>
      <c r="H881" t="s">
        <v>74</v>
      </c>
      <c r="I881" t="s">
        <v>12546</v>
      </c>
      <c r="J881" t="s">
        <v>12547</v>
      </c>
      <c r="K881" t="s">
        <v>74</v>
      </c>
      <c r="L881" t="s">
        <v>74</v>
      </c>
      <c r="M881" t="s">
        <v>79</v>
      </c>
      <c r="N881" t="s">
        <v>126</v>
      </c>
      <c r="O881" t="s">
        <v>74</v>
      </c>
      <c r="P881" t="s">
        <v>74</v>
      </c>
      <c r="Q881" t="s">
        <v>74</v>
      </c>
      <c r="R881" t="s">
        <v>74</v>
      </c>
      <c r="S881" t="s">
        <v>74</v>
      </c>
      <c r="T881" t="s">
        <v>74</v>
      </c>
      <c r="U881" t="s">
        <v>12548</v>
      </c>
      <c r="V881" t="s">
        <v>12549</v>
      </c>
      <c r="W881" t="s">
        <v>12550</v>
      </c>
      <c r="X881" t="s">
        <v>11291</v>
      </c>
      <c r="Y881" t="s">
        <v>12551</v>
      </c>
      <c r="Z881" t="s">
        <v>12552</v>
      </c>
      <c r="AA881" t="s">
        <v>74</v>
      </c>
      <c r="AB881" t="s">
        <v>74</v>
      </c>
      <c r="AC881" t="s">
        <v>74</v>
      </c>
      <c r="AD881" t="s">
        <v>74</v>
      </c>
      <c r="AE881" t="s">
        <v>74</v>
      </c>
      <c r="AF881" t="s">
        <v>74</v>
      </c>
      <c r="AG881">
        <v>68</v>
      </c>
      <c r="AH881">
        <v>48</v>
      </c>
      <c r="AI881">
        <v>52</v>
      </c>
      <c r="AJ881">
        <v>0</v>
      </c>
      <c r="AK881">
        <v>9</v>
      </c>
      <c r="AL881" t="s">
        <v>823</v>
      </c>
      <c r="AM881" t="s">
        <v>824</v>
      </c>
      <c r="AN881" t="s">
        <v>825</v>
      </c>
      <c r="AO881" t="s">
        <v>12553</v>
      </c>
      <c r="AP881" t="s">
        <v>12554</v>
      </c>
      <c r="AQ881" t="s">
        <v>74</v>
      </c>
      <c r="AR881" t="s">
        <v>12555</v>
      </c>
      <c r="AS881" t="s">
        <v>12556</v>
      </c>
      <c r="AT881" t="s">
        <v>11880</v>
      </c>
      <c r="AU881">
        <v>2004</v>
      </c>
      <c r="AV881">
        <v>23</v>
      </c>
      <c r="AW881" t="s">
        <v>74</v>
      </c>
      <c r="AX881">
        <v>1</v>
      </c>
      <c r="AY881" t="s">
        <v>74</v>
      </c>
      <c r="AZ881" t="s">
        <v>74</v>
      </c>
      <c r="BA881" t="s">
        <v>74</v>
      </c>
      <c r="BB881">
        <v>15</v>
      </c>
      <c r="BC881">
        <v>38</v>
      </c>
      <c r="BD881" t="s">
        <v>74</v>
      </c>
      <c r="BE881" t="s">
        <v>12557</v>
      </c>
      <c r="BF881" t="str">
        <f>HYPERLINK("http://dx.doi.org/10.1144/jm.23.1.15","http://dx.doi.org/10.1144/jm.23.1.15")</f>
        <v>http://dx.doi.org/10.1144/jm.23.1.15</v>
      </c>
      <c r="BG881" t="s">
        <v>74</v>
      </c>
      <c r="BH881" t="s">
        <v>74</v>
      </c>
      <c r="BI881">
        <v>24</v>
      </c>
      <c r="BJ881" t="s">
        <v>4627</v>
      </c>
      <c r="BK881" t="s">
        <v>139</v>
      </c>
      <c r="BL881" t="s">
        <v>4627</v>
      </c>
      <c r="BM881" t="s">
        <v>12558</v>
      </c>
      <c r="BN881" t="s">
        <v>74</v>
      </c>
      <c r="BO881" t="s">
        <v>5135</v>
      </c>
      <c r="BP881" t="s">
        <v>74</v>
      </c>
      <c r="BQ881" t="s">
        <v>74</v>
      </c>
      <c r="BR881" t="s">
        <v>98</v>
      </c>
      <c r="BS881" t="s">
        <v>12559</v>
      </c>
      <c r="BT881" t="str">
        <f>HYPERLINK("https%3A%2F%2Fwww.webofscience.com%2Fwos%2Fwoscc%2Ffull-record%2FWOS:000221825500004","View Full Record in Web of Science")</f>
        <v>View Full Record in Web of Science</v>
      </c>
    </row>
    <row r="882" spans="1:72" x14ac:dyDescent="0.15">
      <c r="A882" t="s">
        <v>122</v>
      </c>
      <c r="B882" t="s">
        <v>12560</v>
      </c>
      <c r="C882" t="s">
        <v>74</v>
      </c>
      <c r="D882" t="s">
        <v>74</v>
      </c>
      <c r="E882" t="s">
        <v>74</v>
      </c>
      <c r="F882" t="s">
        <v>12560</v>
      </c>
      <c r="G882" t="s">
        <v>74</v>
      </c>
      <c r="H882" t="s">
        <v>74</v>
      </c>
      <c r="I882" t="s">
        <v>12561</v>
      </c>
      <c r="J882" t="s">
        <v>12562</v>
      </c>
      <c r="K882" t="s">
        <v>74</v>
      </c>
      <c r="L882" t="s">
        <v>74</v>
      </c>
      <c r="M882" t="s">
        <v>79</v>
      </c>
      <c r="N882" t="s">
        <v>126</v>
      </c>
      <c r="O882" t="s">
        <v>74</v>
      </c>
      <c r="P882" t="s">
        <v>74</v>
      </c>
      <c r="Q882" t="s">
        <v>74</v>
      </c>
      <c r="R882" t="s">
        <v>74</v>
      </c>
      <c r="S882" t="s">
        <v>74</v>
      </c>
      <c r="T882" t="s">
        <v>12563</v>
      </c>
      <c r="U882" t="s">
        <v>12564</v>
      </c>
      <c r="V882" t="s">
        <v>12565</v>
      </c>
      <c r="W882" t="s">
        <v>12566</v>
      </c>
      <c r="X882" t="s">
        <v>12567</v>
      </c>
      <c r="Y882" t="s">
        <v>12568</v>
      </c>
      <c r="Z882" t="s">
        <v>12569</v>
      </c>
      <c r="AA882" t="s">
        <v>12570</v>
      </c>
      <c r="AB882" t="s">
        <v>12571</v>
      </c>
      <c r="AC882" t="s">
        <v>74</v>
      </c>
      <c r="AD882" t="s">
        <v>74</v>
      </c>
      <c r="AE882" t="s">
        <v>74</v>
      </c>
      <c r="AF882" t="s">
        <v>74</v>
      </c>
      <c r="AG882">
        <v>94</v>
      </c>
      <c r="AH882">
        <v>27</v>
      </c>
      <c r="AI882">
        <v>27</v>
      </c>
      <c r="AJ882">
        <v>0</v>
      </c>
      <c r="AK882">
        <v>10</v>
      </c>
      <c r="AL882" t="s">
        <v>1418</v>
      </c>
      <c r="AM882" t="s">
        <v>1419</v>
      </c>
      <c r="AN882" t="s">
        <v>1420</v>
      </c>
      <c r="AO882" t="s">
        <v>12572</v>
      </c>
      <c r="AP882" t="s">
        <v>12573</v>
      </c>
      <c r="AQ882" t="s">
        <v>74</v>
      </c>
      <c r="AR882" t="s">
        <v>12574</v>
      </c>
      <c r="AS882" t="s">
        <v>12575</v>
      </c>
      <c r="AT882" t="s">
        <v>11880</v>
      </c>
      <c r="AU882">
        <v>2004</v>
      </c>
      <c r="AV882">
        <v>260</v>
      </c>
      <c r="AW882">
        <v>2</v>
      </c>
      <c r="AX882" t="s">
        <v>74</v>
      </c>
      <c r="AY882" t="s">
        <v>74</v>
      </c>
      <c r="AZ882" t="s">
        <v>74</v>
      </c>
      <c r="BA882" t="s">
        <v>74</v>
      </c>
      <c r="BB882">
        <v>172</v>
      </c>
      <c r="BC882">
        <v>183</v>
      </c>
      <c r="BD882" t="s">
        <v>74</v>
      </c>
      <c r="BE882" t="s">
        <v>12576</v>
      </c>
      <c r="BF882" t="str">
        <f>HYPERLINK("http://dx.doi.org/10.1002/jmor.10200","http://dx.doi.org/10.1002/jmor.10200")</f>
        <v>http://dx.doi.org/10.1002/jmor.10200</v>
      </c>
      <c r="BG882" t="s">
        <v>74</v>
      </c>
      <c r="BH882" t="s">
        <v>74</v>
      </c>
      <c r="BI882">
        <v>12</v>
      </c>
      <c r="BJ882" t="s">
        <v>12577</v>
      </c>
      <c r="BK882" t="s">
        <v>139</v>
      </c>
      <c r="BL882" t="s">
        <v>12577</v>
      </c>
      <c r="BM882" t="s">
        <v>12578</v>
      </c>
      <c r="BN882">
        <v>15108157</v>
      </c>
      <c r="BO882" t="s">
        <v>74</v>
      </c>
      <c r="BP882" t="s">
        <v>74</v>
      </c>
      <c r="BQ882" t="s">
        <v>74</v>
      </c>
      <c r="BR882" t="s">
        <v>98</v>
      </c>
      <c r="BS882" t="s">
        <v>12579</v>
      </c>
      <c r="BT882" t="str">
        <f>HYPERLINK("https%3A%2F%2Fwww.webofscience.com%2Fwos%2Fwoscc%2Ffull-record%2FWOS:000221180800004","View Full Record in Web of Science")</f>
        <v>View Full Record in Web of Science</v>
      </c>
    </row>
    <row r="883" spans="1:72" x14ac:dyDescent="0.15">
      <c r="A883" t="s">
        <v>122</v>
      </c>
      <c r="B883" t="s">
        <v>12580</v>
      </c>
      <c r="C883" t="s">
        <v>74</v>
      </c>
      <c r="D883" t="s">
        <v>74</v>
      </c>
      <c r="E883" t="s">
        <v>74</v>
      </c>
      <c r="F883" t="s">
        <v>12580</v>
      </c>
      <c r="G883" t="s">
        <v>74</v>
      </c>
      <c r="H883" t="s">
        <v>74</v>
      </c>
      <c r="I883" t="s">
        <v>12581</v>
      </c>
      <c r="J883" t="s">
        <v>9263</v>
      </c>
      <c r="K883" t="s">
        <v>74</v>
      </c>
      <c r="L883" t="s">
        <v>74</v>
      </c>
      <c r="M883" t="s">
        <v>79</v>
      </c>
      <c r="N883" t="s">
        <v>126</v>
      </c>
      <c r="O883" t="s">
        <v>74</v>
      </c>
      <c r="P883" t="s">
        <v>74</v>
      </c>
      <c r="Q883" t="s">
        <v>74</v>
      </c>
      <c r="R883" t="s">
        <v>74</v>
      </c>
      <c r="S883" t="s">
        <v>74</v>
      </c>
      <c r="T883" t="s">
        <v>12582</v>
      </c>
      <c r="U883" t="s">
        <v>12583</v>
      </c>
      <c r="V883" t="s">
        <v>12584</v>
      </c>
      <c r="W883" t="s">
        <v>12585</v>
      </c>
      <c r="X883" t="s">
        <v>12586</v>
      </c>
      <c r="Y883" t="s">
        <v>12587</v>
      </c>
      <c r="Z883" t="s">
        <v>12588</v>
      </c>
      <c r="AA883" t="s">
        <v>12589</v>
      </c>
      <c r="AB883" t="s">
        <v>12590</v>
      </c>
      <c r="AC883" t="s">
        <v>74</v>
      </c>
      <c r="AD883" t="s">
        <v>74</v>
      </c>
      <c r="AE883" t="s">
        <v>74</v>
      </c>
      <c r="AF883" t="s">
        <v>74</v>
      </c>
      <c r="AG883">
        <v>56</v>
      </c>
      <c r="AH883">
        <v>34</v>
      </c>
      <c r="AI883">
        <v>37</v>
      </c>
      <c r="AJ883">
        <v>0</v>
      </c>
      <c r="AK883">
        <v>4</v>
      </c>
      <c r="AL883" t="s">
        <v>196</v>
      </c>
      <c r="AM883" t="s">
        <v>197</v>
      </c>
      <c r="AN883" t="s">
        <v>198</v>
      </c>
      <c r="AO883" t="s">
        <v>9269</v>
      </c>
      <c r="AP883" t="s">
        <v>74</v>
      </c>
      <c r="AQ883" t="s">
        <v>74</v>
      </c>
      <c r="AR883" t="s">
        <v>9270</v>
      </c>
      <c r="AS883" t="s">
        <v>9271</v>
      </c>
      <c r="AT883" t="s">
        <v>11880</v>
      </c>
      <c r="AU883">
        <v>2004</v>
      </c>
      <c r="AV883">
        <v>45</v>
      </c>
      <c r="AW883">
        <v>5</v>
      </c>
      <c r="AX883" t="s">
        <v>74</v>
      </c>
      <c r="AY883" t="s">
        <v>74</v>
      </c>
      <c r="AZ883" t="s">
        <v>74</v>
      </c>
      <c r="BA883" t="s">
        <v>74</v>
      </c>
      <c r="BB883">
        <v>949</v>
      </c>
      <c r="BC883">
        <v>973</v>
      </c>
      <c r="BD883" t="s">
        <v>74</v>
      </c>
      <c r="BE883" t="s">
        <v>12591</v>
      </c>
      <c r="BF883" t="str">
        <f>HYPERLINK("http://dx.doi.org/10.1093/petrology/egg117","http://dx.doi.org/10.1093/petrology/egg117")</f>
        <v>http://dx.doi.org/10.1093/petrology/egg117</v>
      </c>
      <c r="BG883" t="s">
        <v>74</v>
      </c>
      <c r="BH883" t="s">
        <v>74</v>
      </c>
      <c r="BI883">
        <v>25</v>
      </c>
      <c r="BJ883" t="s">
        <v>271</v>
      </c>
      <c r="BK883" t="s">
        <v>139</v>
      </c>
      <c r="BL883" t="s">
        <v>271</v>
      </c>
      <c r="BM883" t="s">
        <v>12592</v>
      </c>
      <c r="BN883" t="s">
        <v>74</v>
      </c>
      <c r="BO883" t="s">
        <v>1866</v>
      </c>
      <c r="BP883" t="s">
        <v>74</v>
      </c>
      <c r="BQ883" t="s">
        <v>74</v>
      </c>
      <c r="BR883" t="s">
        <v>98</v>
      </c>
      <c r="BS883" t="s">
        <v>12593</v>
      </c>
      <c r="BT883" t="str">
        <f>HYPERLINK("https%3A%2F%2Fwww.webofscience.com%2Fwos%2Fwoscc%2Ffull-record%2FWOS:000220897600003","View Full Record in Web of Science")</f>
        <v>View Full Record in Web of Science</v>
      </c>
    </row>
    <row r="884" spans="1:72" x14ac:dyDescent="0.15">
      <c r="A884" t="s">
        <v>122</v>
      </c>
      <c r="B884" t="s">
        <v>12594</v>
      </c>
      <c r="C884" t="s">
        <v>74</v>
      </c>
      <c r="D884" t="s">
        <v>74</v>
      </c>
      <c r="E884" t="s">
        <v>74</v>
      </c>
      <c r="F884" t="s">
        <v>12594</v>
      </c>
      <c r="G884" t="s">
        <v>74</v>
      </c>
      <c r="H884" t="s">
        <v>74</v>
      </c>
      <c r="I884" t="s">
        <v>12595</v>
      </c>
      <c r="J884" t="s">
        <v>1677</v>
      </c>
      <c r="K884" t="s">
        <v>74</v>
      </c>
      <c r="L884" t="s">
        <v>74</v>
      </c>
      <c r="M884" t="s">
        <v>79</v>
      </c>
      <c r="N884" t="s">
        <v>126</v>
      </c>
      <c r="O884" t="s">
        <v>74</v>
      </c>
      <c r="P884" t="s">
        <v>74</v>
      </c>
      <c r="Q884" t="s">
        <v>74</v>
      </c>
      <c r="R884" t="s">
        <v>74</v>
      </c>
      <c r="S884" t="s">
        <v>74</v>
      </c>
      <c r="T884" t="s">
        <v>74</v>
      </c>
      <c r="U884" t="s">
        <v>12596</v>
      </c>
      <c r="V884" t="s">
        <v>12597</v>
      </c>
      <c r="W884" t="s">
        <v>12598</v>
      </c>
      <c r="X884" t="s">
        <v>12599</v>
      </c>
      <c r="Y884" t="s">
        <v>12600</v>
      </c>
      <c r="Z884" t="s">
        <v>12601</v>
      </c>
      <c r="AA884" t="s">
        <v>12602</v>
      </c>
      <c r="AB884" t="s">
        <v>12603</v>
      </c>
      <c r="AC884" t="s">
        <v>74</v>
      </c>
      <c r="AD884" t="s">
        <v>74</v>
      </c>
      <c r="AE884" t="s">
        <v>74</v>
      </c>
      <c r="AF884" t="s">
        <v>74</v>
      </c>
      <c r="AG884">
        <v>36</v>
      </c>
      <c r="AH884">
        <v>58</v>
      </c>
      <c r="AI884">
        <v>62</v>
      </c>
      <c r="AJ884">
        <v>0</v>
      </c>
      <c r="AK884">
        <v>3</v>
      </c>
      <c r="AL884" t="s">
        <v>1571</v>
      </c>
      <c r="AM884" t="s">
        <v>1572</v>
      </c>
      <c r="AN884" t="s">
        <v>1573</v>
      </c>
      <c r="AO884" t="s">
        <v>1686</v>
      </c>
      <c r="AP884" t="s">
        <v>1687</v>
      </c>
      <c r="AQ884" t="s">
        <v>74</v>
      </c>
      <c r="AR884" t="s">
        <v>1688</v>
      </c>
      <c r="AS884" t="s">
        <v>1689</v>
      </c>
      <c r="AT884" t="s">
        <v>11880</v>
      </c>
      <c r="AU884">
        <v>2004</v>
      </c>
      <c r="AV884">
        <v>34</v>
      </c>
      <c r="AW884">
        <v>5</v>
      </c>
      <c r="AX884" t="s">
        <v>74</v>
      </c>
      <c r="AY884" t="s">
        <v>74</v>
      </c>
      <c r="AZ884" t="s">
        <v>74</v>
      </c>
      <c r="BA884" t="s">
        <v>74</v>
      </c>
      <c r="BB884">
        <v>1019</v>
      </c>
      <c r="BC884">
        <v>1035</v>
      </c>
      <c r="BD884" t="s">
        <v>74</v>
      </c>
      <c r="BE884" t="s">
        <v>12604</v>
      </c>
      <c r="BF884" t="str">
        <f>HYPERLINK("http://dx.doi.org/10.1175/1520-0485(2004)034&lt;1019:TLVOSA&gt;2.0.CO;2","http://dx.doi.org/10.1175/1520-0485(2004)034&lt;1019:TLVOSA&gt;2.0.CO;2")</f>
        <v>http://dx.doi.org/10.1175/1520-0485(2004)034&lt;1019:TLVOSA&gt;2.0.CO;2</v>
      </c>
      <c r="BG884" t="s">
        <v>74</v>
      </c>
      <c r="BH884" t="s">
        <v>74</v>
      </c>
      <c r="BI884">
        <v>17</v>
      </c>
      <c r="BJ884" t="s">
        <v>660</v>
      </c>
      <c r="BK884" t="s">
        <v>139</v>
      </c>
      <c r="BL884" t="s">
        <v>660</v>
      </c>
      <c r="BM884" t="s">
        <v>12605</v>
      </c>
      <c r="BN884" t="s">
        <v>74</v>
      </c>
      <c r="BO884" t="s">
        <v>273</v>
      </c>
      <c r="BP884" t="s">
        <v>74</v>
      </c>
      <c r="BQ884" t="s">
        <v>74</v>
      </c>
      <c r="BR884" t="s">
        <v>98</v>
      </c>
      <c r="BS884" t="s">
        <v>12606</v>
      </c>
      <c r="BT884" t="str">
        <f>HYPERLINK("https%3A%2F%2Fwww.webofscience.com%2Fwos%2Fwoscc%2Ffull-record%2FWOS:000221606700003","View Full Record in Web of Science")</f>
        <v>View Full Record in Web of Science</v>
      </c>
    </row>
    <row r="885" spans="1:72" x14ac:dyDescent="0.15">
      <c r="A885" t="s">
        <v>122</v>
      </c>
      <c r="B885" t="s">
        <v>12607</v>
      </c>
      <c r="C885" t="s">
        <v>74</v>
      </c>
      <c r="D885" t="s">
        <v>74</v>
      </c>
      <c r="E885" t="s">
        <v>74</v>
      </c>
      <c r="F885" t="s">
        <v>12607</v>
      </c>
      <c r="G885" t="s">
        <v>74</v>
      </c>
      <c r="H885" t="s">
        <v>74</v>
      </c>
      <c r="I885" t="s">
        <v>12608</v>
      </c>
      <c r="J885" t="s">
        <v>1677</v>
      </c>
      <c r="K885" t="s">
        <v>74</v>
      </c>
      <c r="L885" t="s">
        <v>74</v>
      </c>
      <c r="M885" t="s">
        <v>79</v>
      </c>
      <c r="N885" t="s">
        <v>126</v>
      </c>
      <c r="O885" t="s">
        <v>74</v>
      </c>
      <c r="P885" t="s">
        <v>74</v>
      </c>
      <c r="Q885" t="s">
        <v>74</v>
      </c>
      <c r="R885" t="s">
        <v>74</v>
      </c>
      <c r="S885" t="s">
        <v>74</v>
      </c>
      <c r="T885" t="s">
        <v>74</v>
      </c>
      <c r="U885" t="s">
        <v>12609</v>
      </c>
      <c r="V885" t="s">
        <v>12610</v>
      </c>
      <c r="W885" t="s">
        <v>1680</v>
      </c>
      <c r="X885" t="s">
        <v>1681</v>
      </c>
      <c r="Y885" t="s">
        <v>12611</v>
      </c>
      <c r="Z885" t="s">
        <v>12612</v>
      </c>
      <c r="AA885" t="s">
        <v>12613</v>
      </c>
      <c r="AB885" t="s">
        <v>12614</v>
      </c>
      <c r="AC885" t="s">
        <v>74</v>
      </c>
      <c r="AD885" t="s">
        <v>74</v>
      </c>
      <c r="AE885" t="s">
        <v>74</v>
      </c>
      <c r="AF885" t="s">
        <v>74</v>
      </c>
      <c r="AG885">
        <v>27</v>
      </c>
      <c r="AH885">
        <v>99</v>
      </c>
      <c r="AI885">
        <v>116</v>
      </c>
      <c r="AJ885">
        <v>2</v>
      </c>
      <c r="AK885">
        <v>25</v>
      </c>
      <c r="AL885" t="s">
        <v>1571</v>
      </c>
      <c r="AM885" t="s">
        <v>1572</v>
      </c>
      <c r="AN885" t="s">
        <v>1573</v>
      </c>
      <c r="AO885" t="s">
        <v>1686</v>
      </c>
      <c r="AP885" t="s">
        <v>74</v>
      </c>
      <c r="AQ885" t="s">
        <v>74</v>
      </c>
      <c r="AR885" t="s">
        <v>1688</v>
      </c>
      <c r="AS885" t="s">
        <v>1689</v>
      </c>
      <c r="AT885" t="s">
        <v>11880</v>
      </c>
      <c r="AU885">
        <v>2004</v>
      </c>
      <c r="AV885">
        <v>34</v>
      </c>
      <c r="AW885">
        <v>5</v>
      </c>
      <c r="AX885" t="s">
        <v>74</v>
      </c>
      <c r="AY885" t="s">
        <v>74</v>
      </c>
      <c r="AZ885" t="s">
        <v>74</v>
      </c>
      <c r="BA885" t="s">
        <v>74</v>
      </c>
      <c r="BB885">
        <v>1254</v>
      </c>
      <c r="BC885">
        <v>1266</v>
      </c>
      <c r="BD885" t="s">
        <v>74</v>
      </c>
      <c r="BE885" t="s">
        <v>12615</v>
      </c>
      <c r="BF885" t="str">
        <f>HYPERLINK("http://dx.doi.org/10.1175/1520-0485(2004)034&lt;1254:EOTDPT&gt;2.0.CO;2","http://dx.doi.org/10.1175/1520-0485(2004)034&lt;1254:EOTDPT&gt;2.0.CO;2")</f>
        <v>http://dx.doi.org/10.1175/1520-0485(2004)034&lt;1254:EOTDPT&gt;2.0.CO;2</v>
      </c>
      <c r="BG885" t="s">
        <v>74</v>
      </c>
      <c r="BH885" t="s">
        <v>74</v>
      </c>
      <c r="BI885">
        <v>13</v>
      </c>
      <c r="BJ885" t="s">
        <v>660</v>
      </c>
      <c r="BK885" t="s">
        <v>139</v>
      </c>
      <c r="BL885" t="s">
        <v>660</v>
      </c>
      <c r="BM885" t="s">
        <v>12605</v>
      </c>
      <c r="BN885" t="s">
        <v>74</v>
      </c>
      <c r="BO885" t="s">
        <v>273</v>
      </c>
      <c r="BP885" t="s">
        <v>74</v>
      </c>
      <c r="BQ885" t="s">
        <v>74</v>
      </c>
      <c r="BR885" t="s">
        <v>98</v>
      </c>
      <c r="BS885" t="s">
        <v>12616</v>
      </c>
      <c r="BT885" t="str">
        <f>HYPERLINK("https%3A%2F%2Fwww.webofscience.com%2Fwos%2Fwoscc%2Ffull-record%2FWOS:000221606700016","View Full Record in Web of Science")</f>
        <v>View Full Record in Web of Science</v>
      </c>
    </row>
    <row r="886" spans="1:72" x14ac:dyDescent="0.15">
      <c r="A886" t="s">
        <v>122</v>
      </c>
      <c r="B886" t="s">
        <v>12617</v>
      </c>
      <c r="C886" t="s">
        <v>74</v>
      </c>
      <c r="D886" t="s">
        <v>74</v>
      </c>
      <c r="E886" t="s">
        <v>74</v>
      </c>
      <c r="F886" t="s">
        <v>12617</v>
      </c>
      <c r="G886" t="s">
        <v>74</v>
      </c>
      <c r="H886" t="s">
        <v>74</v>
      </c>
      <c r="I886" t="s">
        <v>12618</v>
      </c>
      <c r="J886" t="s">
        <v>1677</v>
      </c>
      <c r="K886" t="s">
        <v>74</v>
      </c>
      <c r="L886" t="s">
        <v>74</v>
      </c>
      <c r="M886" t="s">
        <v>79</v>
      </c>
      <c r="N886" t="s">
        <v>126</v>
      </c>
      <c r="O886" t="s">
        <v>74</v>
      </c>
      <c r="P886" t="s">
        <v>74</v>
      </c>
      <c r="Q886" t="s">
        <v>74</v>
      </c>
      <c r="R886" t="s">
        <v>74</v>
      </c>
      <c r="S886" t="s">
        <v>74</v>
      </c>
      <c r="T886" t="s">
        <v>74</v>
      </c>
      <c r="U886" t="s">
        <v>12619</v>
      </c>
      <c r="V886" t="s">
        <v>12620</v>
      </c>
      <c r="W886" t="s">
        <v>12621</v>
      </c>
      <c r="X886" t="s">
        <v>12622</v>
      </c>
      <c r="Y886" t="s">
        <v>12623</v>
      </c>
      <c r="Z886" t="s">
        <v>12624</v>
      </c>
      <c r="AA886" t="s">
        <v>12625</v>
      </c>
      <c r="AB886" t="s">
        <v>74</v>
      </c>
      <c r="AC886" t="s">
        <v>74</v>
      </c>
      <c r="AD886" t="s">
        <v>74</v>
      </c>
      <c r="AE886" t="s">
        <v>74</v>
      </c>
      <c r="AF886" t="s">
        <v>74</v>
      </c>
      <c r="AG886">
        <v>14</v>
      </c>
      <c r="AH886">
        <v>96</v>
      </c>
      <c r="AI886">
        <v>120</v>
      </c>
      <c r="AJ886">
        <v>2</v>
      </c>
      <c r="AK886">
        <v>26</v>
      </c>
      <c r="AL886" t="s">
        <v>1571</v>
      </c>
      <c r="AM886" t="s">
        <v>1572</v>
      </c>
      <c r="AN886" t="s">
        <v>1573</v>
      </c>
      <c r="AO886" t="s">
        <v>1686</v>
      </c>
      <c r="AP886" t="s">
        <v>1687</v>
      </c>
      <c r="AQ886" t="s">
        <v>74</v>
      </c>
      <c r="AR886" t="s">
        <v>1688</v>
      </c>
      <c r="AS886" t="s">
        <v>1689</v>
      </c>
      <c r="AT886" t="s">
        <v>11880</v>
      </c>
      <c r="AU886">
        <v>2004</v>
      </c>
      <c r="AV886">
        <v>34</v>
      </c>
      <c r="AW886">
        <v>5</v>
      </c>
      <c r="AX886" t="s">
        <v>74</v>
      </c>
      <c r="AY886" t="s">
        <v>74</v>
      </c>
      <c r="AZ886" t="s">
        <v>74</v>
      </c>
      <c r="BA886" t="s">
        <v>74</v>
      </c>
      <c r="BB886">
        <v>1276</v>
      </c>
      <c r="BC886">
        <v>1280</v>
      </c>
      <c r="BD886" t="s">
        <v>74</v>
      </c>
      <c r="BE886" t="s">
        <v>12626</v>
      </c>
      <c r="BF886" t="str">
        <f>HYPERLINK("http://dx.doi.org/10.1175/1520-0485(2004)034&lt;1276:WEITTS&gt;2.0.CO;2","http://dx.doi.org/10.1175/1520-0485(2004)034&lt;1276:WEITTS&gt;2.0.CO;2")</f>
        <v>http://dx.doi.org/10.1175/1520-0485(2004)034&lt;1276:WEITTS&gt;2.0.CO;2</v>
      </c>
      <c r="BG886" t="s">
        <v>74</v>
      </c>
      <c r="BH886" t="s">
        <v>74</v>
      </c>
      <c r="BI886">
        <v>5</v>
      </c>
      <c r="BJ886" t="s">
        <v>660</v>
      </c>
      <c r="BK886" t="s">
        <v>139</v>
      </c>
      <c r="BL886" t="s">
        <v>660</v>
      </c>
      <c r="BM886" t="s">
        <v>12605</v>
      </c>
      <c r="BN886" t="s">
        <v>74</v>
      </c>
      <c r="BO886" t="s">
        <v>273</v>
      </c>
      <c r="BP886" t="s">
        <v>74</v>
      </c>
      <c r="BQ886" t="s">
        <v>74</v>
      </c>
      <c r="BR886" t="s">
        <v>98</v>
      </c>
      <c r="BS886" t="s">
        <v>12627</v>
      </c>
      <c r="BT886" t="str">
        <f>HYPERLINK("https%3A%2F%2Fwww.webofscience.com%2Fwos%2Fwoscc%2Ffull-record%2FWOS:000221606700018","View Full Record in Web of Science")</f>
        <v>View Full Record in Web of Science</v>
      </c>
    </row>
    <row r="887" spans="1:72" x14ac:dyDescent="0.15">
      <c r="A887" t="s">
        <v>122</v>
      </c>
      <c r="B887" t="s">
        <v>12628</v>
      </c>
      <c r="C887" t="s">
        <v>74</v>
      </c>
      <c r="D887" t="s">
        <v>74</v>
      </c>
      <c r="E887" t="s">
        <v>74</v>
      </c>
      <c r="F887" t="s">
        <v>12628</v>
      </c>
      <c r="G887" t="s">
        <v>74</v>
      </c>
      <c r="H887" t="s">
        <v>74</v>
      </c>
      <c r="I887" t="s">
        <v>12629</v>
      </c>
      <c r="J887" t="s">
        <v>1677</v>
      </c>
      <c r="K887" t="s">
        <v>74</v>
      </c>
      <c r="L887" t="s">
        <v>74</v>
      </c>
      <c r="M887" t="s">
        <v>79</v>
      </c>
      <c r="N887" t="s">
        <v>126</v>
      </c>
      <c r="O887" t="s">
        <v>74</v>
      </c>
      <c r="P887" t="s">
        <v>74</v>
      </c>
      <c r="Q887" t="s">
        <v>74</v>
      </c>
      <c r="R887" t="s">
        <v>74</v>
      </c>
      <c r="S887" t="s">
        <v>74</v>
      </c>
      <c r="T887" t="s">
        <v>74</v>
      </c>
      <c r="U887" t="s">
        <v>12630</v>
      </c>
      <c r="V887" t="s">
        <v>12631</v>
      </c>
      <c r="W887" t="s">
        <v>12632</v>
      </c>
      <c r="X887" t="s">
        <v>1043</v>
      </c>
      <c r="Y887" t="s">
        <v>12633</v>
      </c>
      <c r="Z887" t="s">
        <v>12634</v>
      </c>
      <c r="AA887" t="s">
        <v>12635</v>
      </c>
      <c r="AB887" t="s">
        <v>12636</v>
      </c>
      <c r="AC887" t="s">
        <v>74</v>
      </c>
      <c r="AD887" t="s">
        <v>74</v>
      </c>
      <c r="AE887" t="s">
        <v>74</v>
      </c>
      <c r="AF887" t="s">
        <v>74</v>
      </c>
      <c r="AG887">
        <v>42</v>
      </c>
      <c r="AH887">
        <v>3</v>
      </c>
      <c r="AI887">
        <v>3</v>
      </c>
      <c r="AJ887">
        <v>0</v>
      </c>
      <c r="AK887">
        <v>2</v>
      </c>
      <c r="AL887" t="s">
        <v>1571</v>
      </c>
      <c r="AM887" t="s">
        <v>1572</v>
      </c>
      <c r="AN887" t="s">
        <v>1573</v>
      </c>
      <c r="AO887" t="s">
        <v>1686</v>
      </c>
      <c r="AP887" t="s">
        <v>74</v>
      </c>
      <c r="AQ887" t="s">
        <v>74</v>
      </c>
      <c r="AR887" t="s">
        <v>1688</v>
      </c>
      <c r="AS887" t="s">
        <v>1689</v>
      </c>
      <c r="AT887" t="s">
        <v>11880</v>
      </c>
      <c r="AU887">
        <v>2004</v>
      </c>
      <c r="AV887">
        <v>34</v>
      </c>
      <c r="AW887">
        <v>5</v>
      </c>
      <c r="AX887" t="s">
        <v>74</v>
      </c>
      <c r="AY887" t="s">
        <v>74</v>
      </c>
      <c r="AZ887" t="s">
        <v>74</v>
      </c>
      <c r="BA887" t="s">
        <v>74</v>
      </c>
      <c r="BB887">
        <v>1281</v>
      </c>
      <c r="BC887">
        <v>1292</v>
      </c>
      <c r="BD887" t="s">
        <v>74</v>
      </c>
      <c r="BE887" t="s">
        <v>12637</v>
      </c>
      <c r="BF887" t="str">
        <f>HYPERLINK("http://dx.doi.org/10.1175/1520-0485(2004)034&lt;1281:FSAADO&gt;2.0.CO;2","http://dx.doi.org/10.1175/1520-0485(2004)034&lt;1281:FSAADO&gt;2.0.CO;2")</f>
        <v>http://dx.doi.org/10.1175/1520-0485(2004)034&lt;1281:FSAADO&gt;2.0.CO;2</v>
      </c>
      <c r="BG887" t="s">
        <v>74</v>
      </c>
      <c r="BH887" t="s">
        <v>74</v>
      </c>
      <c r="BI887">
        <v>12</v>
      </c>
      <c r="BJ887" t="s">
        <v>660</v>
      </c>
      <c r="BK887" t="s">
        <v>139</v>
      </c>
      <c r="BL887" t="s">
        <v>660</v>
      </c>
      <c r="BM887" t="s">
        <v>12605</v>
      </c>
      <c r="BN887" t="s">
        <v>74</v>
      </c>
      <c r="BO887" t="s">
        <v>2236</v>
      </c>
      <c r="BP887" t="s">
        <v>74</v>
      </c>
      <c r="BQ887" t="s">
        <v>74</v>
      </c>
      <c r="BR887" t="s">
        <v>98</v>
      </c>
      <c r="BS887" t="s">
        <v>12638</v>
      </c>
      <c r="BT887" t="str">
        <f>HYPERLINK("https%3A%2F%2Fwww.webofscience.com%2Fwos%2Fwoscc%2Ffull-record%2FWOS:000221606700019","View Full Record in Web of Science")</f>
        <v>View Full Record in Web of Science</v>
      </c>
    </row>
    <row r="888" spans="1:72" x14ac:dyDescent="0.15">
      <c r="A888" t="s">
        <v>122</v>
      </c>
      <c r="B888" t="s">
        <v>12639</v>
      </c>
      <c r="C888" t="s">
        <v>74</v>
      </c>
      <c r="D888" t="s">
        <v>74</v>
      </c>
      <c r="E888" t="s">
        <v>74</v>
      </c>
      <c r="F888" t="s">
        <v>12639</v>
      </c>
      <c r="G888" t="s">
        <v>74</v>
      </c>
      <c r="H888" t="s">
        <v>74</v>
      </c>
      <c r="I888" t="s">
        <v>12640</v>
      </c>
      <c r="J888" t="s">
        <v>6352</v>
      </c>
      <c r="K888" t="s">
        <v>74</v>
      </c>
      <c r="L888" t="s">
        <v>74</v>
      </c>
      <c r="M888" t="s">
        <v>79</v>
      </c>
      <c r="N888" t="s">
        <v>126</v>
      </c>
      <c r="O888" t="s">
        <v>74</v>
      </c>
      <c r="P888" t="s">
        <v>74</v>
      </c>
      <c r="Q888" t="s">
        <v>74</v>
      </c>
      <c r="R888" t="s">
        <v>74</v>
      </c>
      <c r="S888" t="s">
        <v>74</v>
      </c>
      <c r="T888" t="s">
        <v>12641</v>
      </c>
      <c r="U888" t="s">
        <v>12642</v>
      </c>
      <c r="V888" t="s">
        <v>12643</v>
      </c>
      <c r="W888" t="s">
        <v>10004</v>
      </c>
      <c r="X888" t="s">
        <v>10005</v>
      </c>
      <c r="Y888" t="s">
        <v>12644</v>
      </c>
      <c r="Z888" t="s">
        <v>10007</v>
      </c>
      <c r="AA888" t="s">
        <v>10008</v>
      </c>
      <c r="AB888" t="s">
        <v>10009</v>
      </c>
      <c r="AC888" t="s">
        <v>74</v>
      </c>
      <c r="AD888" t="s">
        <v>74</v>
      </c>
      <c r="AE888" t="s">
        <v>74</v>
      </c>
      <c r="AF888" t="s">
        <v>74</v>
      </c>
      <c r="AG888">
        <v>85</v>
      </c>
      <c r="AH888">
        <v>22</v>
      </c>
      <c r="AI888">
        <v>22</v>
      </c>
      <c r="AJ888">
        <v>1</v>
      </c>
      <c r="AK888">
        <v>8</v>
      </c>
      <c r="AL888" t="s">
        <v>1418</v>
      </c>
      <c r="AM888" t="s">
        <v>1419</v>
      </c>
      <c r="AN888" t="s">
        <v>1420</v>
      </c>
      <c r="AO888" t="s">
        <v>6362</v>
      </c>
      <c r="AP888" t="s">
        <v>6363</v>
      </c>
      <c r="AQ888" t="s">
        <v>74</v>
      </c>
      <c r="AR888" t="s">
        <v>6364</v>
      </c>
      <c r="AS888" t="s">
        <v>6365</v>
      </c>
      <c r="AT888" t="s">
        <v>11880</v>
      </c>
      <c r="AU888">
        <v>2004</v>
      </c>
      <c r="AV888">
        <v>19</v>
      </c>
      <c r="AW888">
        <v>4</v>
      </c>
      <c r="AX888" t="s">
        <v>74</v>
      </c>
      <c r="AY888" t="s">
        <v>74</v>
      </c>
      <c r="AZ888" t="s">
        <v>74</v>
      </c>
      <c r="BA888" t="s">
        <v>74</v>
      </c>
      <c r="BB888">
        <v>347</v>
      </c>
      <c r="BC888">
        <v>360</v>
      </c>
      <c r="BD888" t="s">
        <v>74</v>
      </c>
      <c r="BE888" t="s">
        <v>12645</v>
      </c>
      <c r="BF888" t="str">
        <f>HYPERLINK("http://dx.doi.org/10.1002/jqs.832","http://dx.doi.org/10.1002/jqs.832")</f>
        <v>http://dx.doi.org/10.1002/jqs.832</v>
      </c>
      <c r="BG888" t="s">
        <v>74</v>
      </c>
      <c r="BH888" t="s">
        <v>74</v>
      </c>
      <c r="BI888">
        <v>14</v>
      </c>
      <c r="BJ888" t="s">
        <v>3767</v>
      </c>
      <c r="BK888" t="s">
        <v>139</v>
      </c>
      <c r="BL888" t="s">
        <v>3768</v>
      </c>
      <c r="BM888" t="s">
        <v>12646</v>
      </c>
      <c r="BN888" t="s">
        <v>74</v>
      </c>
      <c r="BO888" t="s">
        <v>74</v>
      </c>
      <c r="BP888" t="s">
        <v>74</v>
      </c>
      <c r="BQ888" t="s">
        <v>74</v>
      </c>
      <c r="BR888" t="s">
        <v>98</v>
      </c>
      <c r="BS888" t="s">
        <v>12647</v>
      </c>
      <c r="BT888" t="str">
        <f>HYPERLINK("https%3A%2F%2Fwww.webofscience.com%2Fwos%2Fwoscc%2Ffull-record%2FWOS:000222374200003","View Full Record in Web of Science")</f>
        <v>View Full Record in Web of Science</v>
      </c>
    </row>
    <row r="889" spans="1:72" x14ac:dyDescent="0.15">
      <c r="A889" t="s">
        <v>122</v>
      </c>
      <c r="B889" t="s">
        <v>12648</v>
      </c>
      <c r="C889" t="s">
        <v>74</v>
      </c>
      <c r="D889" t="s">
        <v>74</v>
      </c>
      <c r="E889" t="s">
        <v>74</v>
      </c>
      <c r="F889" t="s">
        <v>12648</v>
      </c>
      <c r="G889" t="s">
        <v>74</v>
      </c>
      <c r="H889" t="s">
        <v>74</v>
      </c>
      <c r="I889" t="s">
        <v>12649</v>
      </c>
      <c r="J889" t="s">
        <v>6352</v>
      </c>
      <c r="K889" t="s">
        <v>74</v>
      </c>
      <c r="L889" t="s">
        <v>74</v>
      </c>
      <c r="M889" t="s">
        <v>79</v>
      </c>
      <c r="N889" t="s">
        <v>126</v>
      </c>
      <c r="O889" t="s">
        <v>74</v>
      </c>
      <c r="P889" t="s">
        <v>74</v>
      </c>
      <c r="Q889" t="s">
        <v>74</v>
      </c>
      <c r="R889" t="s">
        <v>74</v>
      </c>
      <c r="S889" t="s">
        <v>74</v>
      </c>
      <c r="T889" t="s">
        <v>12650</v>
      </c>
      <c r="U889" t="s">
        <v>12651</v>
      </c>
      <c r="V889" t="s">
        <v>12652</v>
      </c>
      <c r="W889" t="s">
        <v>12653</v>
      </c>
      <c r="X889" t="s">
        <v>12654</v>
      </c>
      <c r="Y889" t="s">
        <v>12655</v>
      </c>
      <c r="Z889" t="s">
        <v>6404</v>
      </c>
      <c r="AA889" t="s">
        <v>12656</v>
      </c>
      <c r="AB889" t="s">
        <v>74</v>
      </c>
      <c r="AC889" t="s">
        <v>74</v>
      </c>
      <c r="AD889" t="s">
        <v>74</v>
      </c>
      <c r="AE889" t="s">
        <v>74</v>
      </c>
      <c r="AF889" t="s">
        <v>74</v>
      </c>
      <c r="AG889">
        <v>81</v>
      </c>
      <c r="AH889">
        <v>59</v>
      </c>
      <c r="AI889">
        <v>66</v>
      </c>
      <c r="AJ889">
        <v>0</v>
      </c>
      <c r="AK889">
        <v>10</v>
      </c>
      <c r="AL889" t="s">
        <v>1418</v>
      </c>
      <c r="AM889" t="s">
        <v>1419</v>
      </c>
      <c r="AN889" t="s">
        <v>1420</v>
      </c>
      <c r="AO889" t="s">
        <v>6362</v>
      </c>
      <c r="AP889" t="s">
        <v>6363</v>
      </c>
      <c r="AQ889" t="s">
        <v>74</v>
      </c>
      <c r="AR889" t="s">
        <v>6364</v>
      </c>
      <c r="AS889" t="s">
        <v>6365</v>
      </c>
      <c r="AT889" t="s">
        <v>11880</v>
      </c>
      <c r="AU889">
        <v>2004</v>
      </c>
      <c r="AV889">
        <v>19</v>
      </c>
      <c r="AW889">
        <v>4</v>
      </c>
      <c r="AX889" t="s">
        <v>74</v>
      </c>
      <c r="AY889" t="s">
        <v>74</v>
      </c>
      <c r="AZ889" t="s">
        <v>74</v>
      </c>
      <c r="BA889" t="s">
        <v>74</v>
      </c>
      <c r="BB889">
        <v>361</v>
      </c>
      <c r="BC889">
        <v>375</v>
      </c>
      <c r="BD889" t="s">
        <v>74</v>
      </c>
      <c r="BE889" t="s">
        <v>12657</v>
      </c>
      <c r="BF889" t="str">
        <f>HYPERLINK("http://dx.doi.org/10.1002/jqs.823","http://dx.doi.org/10.1002/jqs.823")</f>
        <v>http://dx.doi.org/10.1002/jqs.823</v>
      </c>
      <c r="BG889" t="s">
        <v>74</v>
      </c>
      <c r="BH889" t="s">
        <v>74</v>
      </c>
      <c r="BI889">
        <v>15</v>
      </c>
      <c r="BJ889" t="s">
        <v>3767</v>
      </c>
      <c r="BK889" t="s">
        <v>139</v>
      </c>
      <c r="BL889" t="s">
        <v>3768</v>
      </c>
      <c r="BM889" t="s">
        <v>12646</v>
      </c>
      <c r="BN889" t="s">
        <v>74</v>
      </c>
      <c r="BO889" t="s">
        <v>74</v>
      </c>
      <c r="BP889" t="s">
        <v>74</v>
      </c>
      <c r="BQ889" t="s">
        <v>74</v>
      </c>
      <c r="BR889" t="s">
        <v>98</v>
      </c>
      <c r="BS889" t="s">
        <v>12658</v>
      </c>
      <c r="BT889" t="str">
        <f>HYPERLINK("https%3A%2F%2Fwww.webofscience.com%2Fwos%2Fwoscc%2Ffull-record%2FWOS:000222374200004","View Full Record in Web of Science")</f>
        <v>View Full Record in Web of Science</v>
      </c>
    </row>
    <row r="890" spans="1:72" x14ac:dyDescent="0.15">
      <c r="A890" t="s">
        <v>122</v>
      </c>
      <c r="B890" t="s">
        <v>12659</v>
      </c>
      <c r="C890" t="s">
        <v>74</v>
      </c>
      <c r="D890" t="s">
        <v>74</v>
      </c>
      <c r="E890" t="s">
        <v>74</v>
      </c>
      <c r="F890" t="s">
        <v>12659</v>
      </c>
      <c r="G890" t="s">
        <v>74</v>
      </c>
      <c r="H890" t="s">
        <v>74</v>
      </c>
      <c r="I890" t="s">
        <v>12660</v>
      </c>
      <c r="J890" t="s">
        <v>6352</v>
      </c>
      <c r="K890" t="s">
        <v>74</v>
      </c>
      <c r="L890" t="s">
        <v>74</v>
      </c>
      <c r="M890" t="s">
        <v>79</v>
      </c>
      <c r="N890" t="s">
        <v>126</v>
      </c>
      <c r="O890" t="s">
        <v>74</v>
      </c>
      <c r="P890" t="s">
        <v>74</v>
      </c>
      <c r="Q890" t="s">
        <v>74</v>
      </c>
      <c r="R890" t="s">
        <v>74</v>
      </c>
      <c r="S890" t="s">
        <v>74</v>
      </c>
      <c r="T890" t="s">
        <v>12661</v>
      </c>
      <c r="U890" t="s">
        <v>12662</v>
      </c>
      <c r="V890" t="s">
        <v>12663</v>
      </c>
      <c r="W890" t="s">
        <v>87</v>
      </c>
      <c r="X890" t="s">
        <v>88</v>
      </c>
      <c r="Y890" t="s">
        <v>12664</v>
      </c>
      <c r="Z890" t="s">
        <v>12665</v>
      </c>
      <c r="AA890" t="s">
        <v>12666</v>
      </c>
      <c r="AB890" t="s">
        <v>5069</v>
      </c>
      <c r="AC890" t="s">
        <v>74</v>
      </c>
      <c r="AD890" t="s">
        <v>74</v>
      </c>
      <c r="AE890" t="s">
        <v>74</v>
      </c>
      <c r="AF890" t="s">
        <v>74</v>
      </c>
      <c r="AG890">
        <v>34</v>
      </c>
      <c r="AH890">
        <v>44</v>
      </c>
      <c r="AI890">
        <v>47</v>
      </c>
      <c r="AJ890">
        <v>0</v>
      </c>
      <c r="AK890">
        <v>7</v>
      </c>
      <c r="AL890" t="s">
        <v>1418</v>
      </c>
      <c r="AM890" t="s">
        <v>1419</v>
      </c>
      <c r="AN890" t="s">
        <v>1420</v>
      </c>
      <c r="AO890" t="s">
        <v>6362</v>
      </c>
      <c r="AP890" t="s">
        <v>6363</v>
      </c>
      <c r="AQ890" t="s">
        <v>74</v>
      </c>
      <c r="AR890" t="s">
        <v>6364</v>
      </c>
      <c r="AS890" t="s">
        <v>6365</v>
      </c>
      <c r="AT890" t="s">
        <v>11880</v>
      </c>
      <c r="AU890">
        <v>2004</v>
      </c>
      <c r="AV890">
        <v>19</v>
      </c>
      <c r="AW890">
        <v>4</v>
      </c>
      <c r="AX890" t="s">
        <v>74</v>
      </c>
      <c r="AY890" t="s">
        <v>74</v>
      </c>
      <c r="AZ890" t="s">
        <v>74</v>
      </c>
      <c r="BA890" t="s">
        <v>74</v>
      </c>
      <c r="BB890">
        <v>397</v>
      </c>
      <c r="BC890">
        <v>407</v>
      </c>
      <c r="BD890" t="s">
        <v>74</v>
      </c>
      <c r="BE890" t="s">
        <v>12667</v>
      </c>
      <c r="BF890" t="str">
        <f>HYPERLINK("http://dx.doi.org/10.1002/jqs.831","http://dx.doi.org/10.1002/jqs.831")</f>
        <v>http://dx.doi.org/10.1002/jqs.831</v>
      </c>
      <c r="BG890" t="s">
        <v>74</v>
      </c>
      <c r="BH890" t="s">
        <v>74</v>
      </c>
      <c r="BI890">
        <v>11</v>
      </c>
      <c r="BJ890" t="s">
        <v>3767</v>
      </c>
      <c r="BK890" t="s">
        <v>139</v>
      </c>
      <c r="BL890" t="s">
        <v>3768</v>
      </c>
      <c r="BM890" t="s">
        <v>12646</v>
      </c>
      <c r="BN890" t="s">
        <v>74</v>
      </c>
      <c r="BO890" t="s">
        <v>74</v>
      </c>
      <c r="BP890" t="s">
        <v>74</v>
      </c>
      <c r="BQ890" t="s">
        <v>74</v>
      </c>
      <c r="BR890" t="s">
        <v>98</v>
      </c>
      <c r="BS890" t="s">
        <v>12668</v>
      </c>
      <c r="BT890" t="str">
        <f>HYPERLINK("https%3A%2F%2Fwww.webofscience.com%2Fwos%2Fwoscc%2Ffull-record%2FWOS:000222374200006","View Full Record in Web of Science")</f>
        <v>View Full Record in Web of Science</v>
      </c>
    </row>
    <row r="891" spans="1:72" x14ac:dyDescent="0.15">
      <c r="A891" t="s">
        <v>122</v>
      </c>
      <c r="B891" t="s">
        <v>12669</v>
      </c>
      <c r="C891" t="s">
        <v>74</v>
      </c>
      <c r="D891" t="s">
        <v>74</v>
      </c>
      <c r="E891" t="s">
        <v>74</v>
      </c>
      <c r="F891" t="s">
        <v>12669</v>
      </c>
      <c r="G891" t="s">
        <v>74</v>
      </c>
      <c r="H891" t="s">
        <v>74</v>
      </c>
      <c r="I891" t="s">
        <v>12670</v>
      </c>
      <c r="J891" t="s">
        <v>3423</v>
      </c>
      <c r="K891" t="s">
        <v>74</v>
      </c>
      <c r="L891" t="s">
        <v>74</v>
      </c>
      <c r="M891" t="s">
        <v>79</v>
      </c>
      <c r="N891" t="s">
        <v>746</v>
      </c>
      <c r="O891" t="s">
        <v>74</v>
      </c>
      <c r="P891" t="s">
        <v>74</v>
      </c>
      <c r="Q891" t="s">
        <v>74</v>
      </c>
      <c r="R891" t="s">
        <v>74</v>
      </c>
      <c r="S891" t="s">
        <v>74</v>
      </c>
      <c r="T891" t="s">
        <v>74</v>
      </c>
      <c r="U891" t="s">
        <v>74</v>
      </c>
      <c r="V891" t="s">
        <v>74</v>
      </c>
      <c r="W891" t="s">
        <v>74</v>
      </c>
      <c r="X891" t="s">
        <v>74</v>
      </c>
      <c r="Y891" t="s">
        <v>74</v>
      </c>
      <c r="Z891" t="s">
        <v>74</v>
      </c>
      <c r="AA891" t="s">
        <v>74</v>
      </c>
      <c r="AB891" t="s">
        <v>74</v>
      </c>
      <c r="AC891" t="s">
        <v>74</v>
      </c>
      <c r="AD891" t="s">
        <v>74</v>
      </c>
      <c r="AE891" t="s">
        <v>74</v>
      </c>
      <c r="AF891" t="s">
        <v>74</v>
      </c>
      <c r="AG891">
        <v>1</v>
      </c>
      <c r="AH891">
        <v>0</v>
      </c>
      <c r="AI891">
        <v>0</v>
      </c>
      <c r="AJ891">
        <v>0</v>
      </c>
      <c r="AK891">
        <v>0</v>
      </c>
      <c r="AL891" t="s">
        <v>3426</v>
      </c>
      <c r="AM891" t="s">
        <v>613</v>
      </c>
      <c r="AN891" t="s">
        <v>3427</v>
      </c>
      <c r="AO891" t="s">
        <v>3428</v>
      </c>
      <c r="AP891" t="s">
        <v>74</v>
      </c>
      <c r="AQ891" t="s">
        <v>74</v>
      </c>
      <c r="AR891" t="s">
        <v>3429</v>
      </c>
      <c r="AS891" t="s">
        <v>3430</v>
      </c>
      <c r="AT891" t="s">
        <v>12256</v>
      </c>
      <c r="AU891">
        <v>2004</v>
      </c>
      <c r="AV891">
        <v>129</v>
      </c>
      <c r="AW891">
        <v>8</v>
      </c>
      <c r="AX891" t="s">
        <v>74</v>
      </c>
      <c r="AY891" t="s">
        <v>74</v>
      </c>
      <c r="AZ891" t="s">
        <v>74</v>
      </c>
      <c r="BA891" t="s">
        <v>74</v>
      </c>
      <c r="BB891">
        <v>146</v>
      </c>
      <c r="BC891">
        <v>146</v>
      </c>
      <c r="BD891" t="s">
        <v>74</v>
      </c>
      <c r="BE891" t="s">
        <v>74</v>
      </c>
      <c r="BF891" t="s">
        <v>74</v>
      </c>
      <c r="BG891" t="s">
        <v>74</v>
      </c>
      <c r="BH891" t="s">
        <v>74</v>
      </c>
      <c r="BI891">
        <v>1</v>
      </c>
      <c r="BJ891" t="s">
        <v>3431</v>
      </c>
      <c r="BK891" t="s">
        <v>3432</v>
      </c>
      <c r="BL891" t="s">
        <v>3431</v>
      </c>
      <c r="BM891" t="s">
        <v>12671</v>
      </c>
      <c r="BN891" t="s">
        <v>74</v>
      </c>
      <c r="BO891" t="s">
        <v>74</v>
      </c>
      <c r="BP891" t="s">
        <v>74</v>
      </c>
      <c r="BQ891" t="s">
        <v>74</v>
      </c>
      <c r="BR891" t="s">
        <v>98</v>
      </c>
      <c r="BS891" t="s">
        <v>12672</v>
      </c>
      <c r="BT891" t="str">
        <f>HYPERLINK("https%3A%2F%2Fwww.webofscience.com%2Fwos%2Fwoscc%2Ffull-record%2FWOS:000222669000235","View Full Record in Web of Science")</f>
        <v>View Full Record in Web of Science</v>
      </c>
    </row>
    <row r="892" spans="1:72" x14ac:dyDescent="0.15">
      <c r="A892" t="s">
        <v>122</v>
      </c>
      <c r="B892" t="s">
        <v>12673</v>
      </c>
      <c r="C892" t="s">
        <v>74</v>
      </c>
      <c r="D892" t="s">
        <v>74</v>
      </c>
      <c r="E892" t="s">
        <v>74</v>
      </c>
      <c r="F892" t="s">
        <v>12673</v>
      </c>
      <c r="G892" t="s">
        <v>74</v>
      </c>
      <c r="H892" t="s">
        <v>74</v>
      </c>
      <c r="I892" t="s">
        <v>12674</v>
      </c>
      <c r="J892" t="s">
        <v>3437</v>
      </c>
      <c r="K892" t="s">
        <v>74</v>
      </c>
      <c r="L892" t="s">
        <v>74</v>
      </c>
      <c r="M892" t="s">
        <v>79</v>
      </c>
      <c r="N892" t="s">
        <v>126</v>
      </c>
      <c r="O892" t="s">
        <v>74</v>
      </c>
      <c r="P892" t="s">
        <v>74</v>
      </c>
      <c r="Q892" t="s">
        <v>74</v>
      </c>
      <c r="R892" t="s">
        <v>74</v>
      </c>
      <c r="S892" t="s">
        <v>74</v>
      </c>
      <c r="T892" t="s">
        <v>12675</v>
      </c>
      <c r="U892" t="s">
        <v>12676</v>
      </c>
      <c r="V892" t="s">
        <v>12677</v>
      </c>
      <c r="W892" t="s">
        <v>12678</v>
      </c>
      <c r="X892" t="s">
        <v>12679</v>
      </c>
      <c r="Y892" t="s">
        <v>12680</v>
      </c>
      <c r="Z892" t="s">
        <v>74</v>
      </c>
      <c r="AA892" t="s">
        <v>12681</v>
      </c>
      <c r="AB892" t="s">
        <v>74</v>
      </c>
      <c r="AC892" t="s">
        <v>74</v>
      </c>
      <c r="AD892" t="s">
        <v>74</v>
      </c>
      <c r="AE892" t="s">
        <v>74</v>
      </c>
      <c r="AF892" t="s">
        <v>74</v>
      </c>
      <c r="AG892">
        <v>43</v>
      </c>
      <c r="AH892">
        <v>25</v>
      </c>
      <c r="AI892">
        <v>28</v>
      </c>
      <c r="AJ892">
        <v>0</v>
      </c>
      <c r="AK892">
        <v>5</v>
      </c>
      <c r="AL892" t="s">
        <v>919</v>
      </c>
      <c r="AM892" t="s">
        <v>1604</v>
      </c>
      <c r="AN892" t="s">
        <v>3444</v>
      </c>
      <c r="AO892" t="s">
        <v>3445</v>
      </c>
      <c r="AP892" t="s">
        <v>3446</v>
      </c>
      <c r="AQ892" t="s">
        <v>74</v>
      </c>
      <c r="AR892" t="s">
        <v>3437</v>
      </c>
      <c r="AS892" t="s">
        <v>3447</v>
      </c>
      <c r="AT892" t="s">
        <v>12682</v>
      </c>
      <c r="AU892">
        <v>2004</v>
      </c>
      <c r="AV892">
        <v>36</v>
      </c>
      <c r="AW892" t="s">
        <v>74</v>
      </c>
      <c r="AX892" t="s">
        <v>538</v>
      </c>
      <c r="AY892" t="s">
        <v>74</v>
      </c>
      <c r="AZ892" t="s">
        <v>74</v>
      </c>
      <c r="BA892" t="s">
        <v>74</v>
      </c>
      <c r="BB892">
        <v>227</v>
      </c>
      <c r="BC892">
        <v>234</v>
      </c>
      <c r="BD892" t="s">
        <v>74</v>
      </c>
      <c r="BE892" t="s">
        <v>12683</v>
      </c>
      <c r="BF892" t="str">
        <f>HYPERLINK("http://dx.doi.org/10.1017/S0024282904014306","http://dx.doi.org/10.1017/S0024282904014306")</f>
        <v>http://dx.doi.org/10.1017/S0024282904014306</v>
      </c>
      <c r="BG892" t="s">
        <v>74</v>
      </c>
      <c r="BH892" t="s">
        <v>74</v>
      </c>
      <c r="BI892">
        <v>8</v>
      </c>
      <c r="BJ892" t="s">
        <v>3449</v>
      </c>
      <c r="BK892" t="s">
        <v>139</v>
      </c>
      <c r="BL892" t="s">
        <v>3449</v>
      </c>
      <c r="BM892" t="s">
        <v>12684</v>
      </c>
      <c r="BN892" t="s">
        <v>74</v>
      </c>
      <c r="BO892" t="s">
        <v>74</v>
      </c>
      <c r="BP892" t="s">
        <v>74</v>
      </c>
      <c r="BQ892" t="s">
        <v>74</v>
      </c>
      <c r="BR892" t="s">
        <v>98</v>
      </c>
      <c r="BS892" t="s">
        <v>12685</v>
      </c>
      <c r="BT892" t="str">
        <f>HYPERLINK("https%3A%2F%2Fwww.webofscience.com%2Fwos%2Fwoscc%2Ffull-record%2FWOS:000222995700009","View Full Record in Web of Science")</f>
        <v>View Full Record in Web of Science</v>
      </c>
    </row>
    <row r="893" spans="1:72" x14ac:dyDescent="0.15">
      <c r="A893" t="s">
        <v>122</v>
      </c>
      <c r="B893" t="s">
        <v>12686</v>
      </c>
      <c r="C893" t="s">
        <v>74</v>
      </c>
      <c r="D893" t="s">
        <v>74</v>
      </c>
      <c r="E893" t="s">
        <v>74</v>
      </c>
      <c r="F893" t="s">
        <v>12686</v>
      </c>
      <c r="G893" t="s">
        <v>74</v>
      </c>
      <c r="H893" t="s">
        <v>74</v>
      </c>
      <c r="I893" t="s">
        <v>12687</v>
      </c>
      <c r="J893" t="s">
        <v>3454</v>
      </c>
      <c r="K893" t="s">
        <v>74</v>
      </c>
      <c r="L893" t="s">
        <v>74</v>
      </c>
      <c r="M893" t="s">
        <v>79</v>
      </c>
      <c r="N893" t="s">
        <v>126</v>
      </c>
      <c r="O893" t="s">
        <v>74</v>
      </c>
      <c r="P893" t="s">
        <v>74</v>
      </c>
      <c r="Q893" t="s">
        <v>74</v>
      </c>
      <c r="R893" t="s">
        <v>74</v>
      </c>
      <c r="S893" t="s">
        <v>74</v>
      </c>
      <c r="T893" t="s">
        <v>74</v>
      </c>
      <c r="U893" t="s">
        <v>12688</v>
      </c>
      <c r="V893" t="s">
        <v>12689</v>
      </c>
      <c r="W893" t="s">
        <v>12690</v>
      </c>
      <c r="X893" t="s">
        <v>12691</v>
      </c>
      <c r="Y893" t="s">
        <v>12692</v>
      </c>
      <c r="Z893" t="s">
        <v>12693</v>
      </c>
      <c r="AA893" t="s">
        <v>74</v>
      </c>
      <c r="AB893" t="s">
        <v>12694</v>
      </c>
      <c r="AC893" t="s">
        <v>74</v>
      </c>
      <c r="AD893" t="s">
        <v>74</v>
      </c>
      <c r="AE893" t="s">
        <v>74</v>
      </c>
      <c r="AF893" t="s">
        <v>74</v>
      </c>
      <c r="AG893">
        <v>43</v>
      </c>
      <c r="AH893">
        <v>20</v>
      </c>
      <c r="AI893">
        <v>21</v>
      </c>
      <c r="AJ893">
        <v>0</v>
      </c>
      <c r="AK893">
        <v>8</v>
      </c>
      <c r="AL893" t="s">
        <v>1418</v>
      </c>
      <c r="AM893" t="s">
        <v>1419</v>
      </c>
      <c r="AN893" t="s">
        <v>1420</v>
      </c>
      <c r="AO893" t="s">
        <v>3466</v>
      </c>
      <c r="AP893" t="s">
        <v>3482</v>
      </c>
      <c r="AQ893" t="s">
        <v>74</v>
      </c>
      <c r="AR893" t="s">
        <v>3467</v>
      </c>
      <c r="AS893" t="s">
        <v>3468</v>
      </c>
      <c r="AT893" t="s">
        <v>11880</v>
      </c>
      <c r="AU893">
        <v>2004</v>
      </c>
      <c r="AV893">
        <v>49</v>
      </c>
      <c r="AW893">
        <v>3</v>
      </c>
      <c r="AX893" t="s">
        <v>74</v>
      </c>
      <c r="AY893" t="s">
        <v>74</v>
      </c>
      <c r="AZ893" t="s">
        <v>74</v>
      </c>
      <c r="BA893" t="s">
        <v>74</v>
      </c>
      <c r="BB893">
        <v>644</v>
      </c>
      <c r="BC893">
        <v>655</v>
      </c>
      <c r="BD893" t="s">
        <v>74</v>
      </c>
      <c r="BE893" t="s">
        <v>12695</v>
      </c>
      <c r="BF893" t="str">
        <f>HYPERLINK("http://dx.doi.org/10.4319/lo.2004.49.3.0644","http://dx.doi.org/10.4319/lo.2004.49.3.0644")</f>
        <v>http://dx.doi.org/10.4319/lo.2004.49.3.0644</v>
      </c>
      <c r="BG893" t="s">
        <v>74</v>
      </c>
      <c r="BH893" t="s">
        <v>74</v>
      </c>
      <c r="BI893">
        <v>12</v>
      </c>
      <c r="BJ893" t="s">
        <v>3470</v>
      </c>
      <c r="BK893" t="s">
        <v>139</v>
      </c>
      <c r="BL893" t="s">
        <v>1709</v>
      </c>
      <c r="BM893" t="s">
        <v>12696</v>
      </c>
      <c r="BN893" t="s">
        <v>74</v>
      </c>
      <c r="BO893" t="s">
        <v>273</v>
      </c>
      <c r="BP893" t="s">
        <v>74</v>
      </c>
      <c r="BQ893" t="s">
        <v>74</v>
      </c>
      <c r="BR893" t="s">
        <v>98</v>
      </c>
      <c r="BS893" t="s">
        <v>12697</v>
      </c>
      <c r="BT893" t="str">
        <f>HYPERLINK("https%3A%2F%2Fwww.webofscience.com%2Fwos%2Fwoscc%2Ffull-record%2FWOS:000224979600003","View Full Record in Web of Science")</f>
        <v>View Full Record in Web of Science</v>
      </c>
    </row>
    <row r="894" spans="1:72" x14ac:dyDescent="0.15">
      <c r="A894" t="s">
        <v>122</v>
      </c>
      <c r="B894" t="s">
        <v>12698</v>
      </c>
      <c r="C894" t="s">
        <v>74</v>
      </c>
      <c r="D894" t="s">
        <v>74</v>
      </c>
      <c r="E894" t="s">
        <v>74</v>
      </c>
      <c r="F894" t="s">
        <v>12698</v>
      </c>
      <c r="G894" t="s">
        <v>74</v>
      </c>
      <c r="H894" t="s">
        <v>74</v>
      </c>
      <c r="I894" t="s">
        <v>12699</v>
      </c>
      <c r="J894" t="s">
        <v>1751</v>
      </c>
      <c r="K894" t="s">
        <v>74</v>
      </c>
      <c r="L894" t="s">
        <v>74</v>
      </c>
      <c r="M894" t="s">
        <v>79</v>
      </c>
      <c r="N894" t="s">
        <v>126</v>
      </c>
      <c r="O894" t="s">
        <v>74</v>
      </c>
      <c r="P894" t="s">
        <v>74</v>
      </c>
      <c r="Q894" t="s">
        <v>74</v>
      </c>
      <c r="R894" t="s">
        <v>74</v>
      </c>
      <c r="S894" t="s">
        <v>74</v>
      </c>
      <c r="T894" t="s">
        <v>74</v>
      </c>
      <c r="U894" t="s">
        <v>12700</v>
      </c>
      <c r="V894" t="s">
        <v>12701</v>
      </c>
      <c r="W894" t="s">
        <v>12702</v>
      </c>
      <c r="X894" t="s">
        <v>8436</v>
      </c>
      <c r="Y894" t="s">
        <v>74</v>
      </c>
      <c r="Z894" t="s">
        <v>12703</v>
      </c>
      <c r="AA894" t="s">
        <v>74</v>
      </c>
      <c r="AB894" t="s">
        <v>12704</v>
      </c>
      <c r="AC894" t="s">
        <v>74</v>
      </c>
      <c r="AD894" t="s">
        <v>74</v>
      </c>
      <c r="AE894" t="s">
        <v>74</v>
      </c>
      <c r="AF894" t="s">
        <v>74</v>
      </c>
      <c r="AG894">
        <v>79</v>
      </c>
      <c r="AH894">
        <v>41</v>
      </c>
      <c r="AI894">
        <v>45</v>
      </c>
      <c r="AJ894">
        <v>0</v>
      </c>
      <c r="AK894">
        <v>8</v>
      </c>
      <c r="AL894" t="s">
        <v>1755</v>
      </c>
      <c r="AM894" t="s">
        <v>1756</v>
      </c>
      <c r="AN894" t="s">
        <v>1757</v>
      </c>
      <c r="AO894" t="s">
        <v>1758</v>
      </c>
      <c r="AP894" t="s">
        <v>1759</v>
      </c>
      <c r="AQ894" t="s">
        <v>74</v>
      </c>
      <c r="AR894" t="s">
        <v>1760</v>
      </c>
      <c r="AS894" t="s">
        <v>1761</v>
      </c>
      <c r="AT894" t="s">
        <v>11880</v>
      </c>
      <c r="AU894">
        <v>2004</v>
      </c>
      <c r="AV894">
        <v>144</v>
      </c>
      <c r="AW894">
        <v>5</v>
      </c>
      <c r="AX894" t="s">
        <v>74</v>
      </c>
      <c r="AY894" t="s">
        <v>74</v>
      </c>
      <c r="AZ894" t="s">
        <v>74</v>
      </c>
      <c r="BA894" t="s">
        <v>74</v>
      </c>
      <c r="BB894">
        <v>829</v>
      </c>
      <c r="BC894">
        <v>839</v>
      </c>
      <c r="BD894" t="s">
        <v>74</v>
      </c>
      <c r="BE894" t="s">
        <v>12705</v>
      </c>
      <c r="BF894" t="str">
        <f>HYPERLINK("http://dx.doi.org/10.1007/s00227-003-1269-3","http://dx.doi.org/10.1007/s00227-003-1269-3")</f>
        <v>http://dx.doi.org/10.1007/s00227-003-1269-3</v>
      </c>
      <c r="BG894" t="s">
        <v>74</v>
      </c>
      <c r="BH894" t="s">
        <v>74</v>
      </c>
      <c r="BI894">
        <v>11</v>
      </c>
      <c r="BJ894" t="s">
        <v>1763</v>
      </c>
      <c r="BK894" t="s">
        <v>139</v>
      </c>
      <c r="BL894" t="s">
        <v>1763</v>
      </c>
      <c r="BM894" t="s">
        <v>12706</v>
      </c>
      <c r="BN894" t="s">
        <v>74</v>
      </c>
      <c r="BO894" t="s">
        <v>74</v>
      </c>
      <c r="BP894" t="s">
        <v>74</v>
      </c>
      <c r="BQ894" t="s">
        <v>74</v>
      </c>
      <c r="BR894" t="s">
        <v>98</v>
      </c>
      <c r="BS894" t="s">
        <v>12707</v>
      </c>
      <c r="BT894" t="str">
        <f>HYPERLINK("https%3A%2F%2Fwww.webofscience.com%2Fwos%2Fwoscc%2Ffull-record%2FWOS:000221115900001","View Full Record in Web of Science")</f>
        <v>View Full Record in Web of Science</v>
      </c>
    </row>
    <row r="895" spans="1:72" x14ac:dyDescent="0.15">
      <c r="A895" t="s">
        <v>122</v>
      </c>
      <c r="B895" t="s">
        <v>12708</v>
      </c>
      <c r="C895" t="s">
        <v>74</v>
      </c>
      <c r="D895" t="s">
        <v>74</v>
      </c>
      <c r="E895" t="s">
        <v>74</v>
      </c>
      <c r="F895" t="s">
        <v>12708</v>
      </c>
      <c r="G895" t="s">
        <v>74</v>
      </c>
      <c r="H895" t="s">
        <v>74</v>
      </c>
      <c r="I895" t="s">
        <v>12709</v>
      </c>
      <c r="J895" t="s">
        <v>1751</v>
      </c>
      <c r="K895" t="s">
        <v>74</v>
      </c>
      <c r="L895" t="s">
        <v>74</v>
      </c>
      <c r="M895" t="s">
        <v>79</v>
      </c>
      <c r="N895" t="s">
        <v>126</v>
      </c>
      <c r="O895" t="s">
        <v>74</v>
      </c>
      <c r="P895" t="s">
        <v>74</v>
      </c>
      <c r="Q895" t="s">
        <v>74</v>
      </c>
      <c r="R895" t="s">
        <v>74</v>
      </c>
      <c r="S895" t="s">
        <v>74</v>
      </c>
      <c r="T895" t="s">
        <v>74</v>
      </c>
      <c r="U895" t="s">
        <v>12710</v>
      </c>
      <c r="V895" t="s">
        <v>12711</v>
      </c>
      <c r="W895" t="s">
        <v>12712</v>
      </c>
      <c r="X895" t="s">
        <v>6440</v>
      </c>
      <c r="Y895" t="s">
        <v>12713</v>
      </c>
      <c r="Z895" t="s">
        <v>12714</v>
      </c>
      <c r="AA895" t="s">
        <v>74</v>
      </c>
      <c r="AB895" t="s">
        <v>12715</v>
      </c>
      <c r="AC895" t="s">
        <v>74</v>
      </c>
      <c r="AD895" t="s">
        <v>74</v>
      </c>
      <c r="AE895" t="s">
        <v>74</v>
      </c>
      <c r="AF895" t="s">
        <v>74</v>
      </c>
      <c r="AG895">
        <v>57</v>
      </c>
      <c r="AH895">
        <v>33</v>
      </c>
      <c r="AI895">
        <v>35</v>
      </c>
      <c r="AJ895">
        <v>0</v>
      </c>
      <c r="AK895">
        <v>4</v>
      </c>
      <c r="AL895" t="s">
        <v>1755</v>
      </c>
      <c r="AM895" t="s">
        <v>1756</v>
      </c>
      <c r="AN895" t="s">
        <v>1757</v>
      </c>
      <c r="AO895" t="s">
        <v>1758</v>
      </c>
      <c r="AP895" t="s">
        <v>1759</v>
      </c>
      <c r="AQ895" t="s">
        <v>74</v>
      </c>
      <c r="AR895" t="s">
        <v>1760</v>
      </c>
      <c r="AS895" t="s">
        <v>1761</v>
      </c>
      <c r="AT895" t="s">
        <v>11880</v>
      </c>
      <c r="AU895">
        <v>2004</v>
      </c>
      <c r="AV895">
        <v>144</v>
      </c>
      <c r="AW895">
        <v>5</v>
      </c>
      <c r="AX895" t="s">
        <v>74</v>
      </c>
      <c r="AY895" t="s">
        <v>74</v>
      </c>
      <c r="AZ895" t="s">
        <v>74</v>
      </c>
      <c r="BA895" t="s">
        <v>74</v>
      </c>
      <c r="BB895">
        <v>935</v>
      </c>
      <c r="BC895">
        <v>946</v>
      </c>
      <c r="BD895" t="s">
        <v>74</v>
      </c>
      <c r="BE895" t="s">
        <v>12716</v>
      </c>
      <c r="BF895" t="str">
        <f>HYPERLINK("http://dx.doi.org/10.1007/s00227-003-1261-y","http://dx.doi.org/10.1007/s00227-003-1261-y")</f>
        <v>http://dx.doi.org/10.1007/s00227-003-1261-y</v>
      </c>
      <c r="BG895" t="s">
        <v>74</v>
      </c>
      <c r="BH895" t="s">
        <v>74</v>
      </c>
      <c r="BI895">
        <v>12</v>
      </c>
      <c r="BJ895" t="s">
        <v>1763</v>
      </c>
      <c r="BK895" t="s">
        <v>139</v>
      </c>
      <c r="BL895" t="s">
        <v>1763</v>
      </c>
      <c r="BM895" t="s">
        <v>12706</v>
      </c>
      <c r="BN895" t="s">
        <v>74</v>
      </c>
      <c r="BO895" t="s">
        <v>74</v>
      </c>
      <c r="BP895" t="s">
        <v>74</v>
      </c>
      <c r="BQ895" t="s">
        <v>74</v>
      </c>
      <c r="BR895" t="s">
        <v>98</v>
      </c>
      <c r="BS895" t="s">
        <v>12717</v>
      </c>
      <c r="BT895" t="str">
        <f>HYPERLINK("https%3A%2F%2Fwww.webofscience.com%2Fwos%2Fwoscc%2Ffull-record%2FWOS:000221115900010","View Full Record in Web of Science")</f>
        <v>View Full Record in Web of Science</v>
      </c>
    </row>
    <row r="896" spans="1:72" x14ac:dyDescent="0.15">
      <c r="A896" t="s">
        <v>122</v>
      </c>
      <c r="B896" t="s">
        <v>12718</v>
      </c>
      <c r="C896" t="s">
        <v>74</v>
      </c>
      <c r="D896" t="s">
        <v>74</v>
      </c>
      <c r="E896" t="s">
        <v>74</v>
      </c>
      <c r="F896" t="s">
        <v>12718</v>
      </c>
      <c r="G896" t="s">
        <v>74</v>
      </c>
      <c r="H896" t="s">
        <v>74</v>
      </c>
      <c r="I896" t="s">
        <v>12719</v>
      </c>
      <c r="J896" t="s">
        <v>1751</v>
      </c>
      <c r="K896" t="s">
        <v>74</v>
      </c>
      <c r="L896" t="s">
        <v>74</v>
      </c>
      <c r="M896" t="s">
        <v>79</v>
      </c>
      <c r="N896" t="s">
        <v>126</v>
      </c>
      <c r="O896" t="s">
        <v>74</v>
      </c>
      <c r="P896" t="s">
        <v>74</v>
      </c>
      <c r="Q896" t="s">
        <v>74</v>
      </c>
      <c r="R896" t="s">
        <v>74</v>
      </c>
      <c r="S896" t="s">
        <v>74</v>
      </c>
      <c r="T896" t="s">
        <v>74</v>
      </c>
      <c r="U896" t="s">
        <v>12720</v>
      </c>
      <c r="V896" t="s">
        <v>12721</v>
      </c>
      <c r="W896" t="s">
        <v>12722</v>
      </c>
      <c r="X896" t="s">
        <v>12723</v>
      </c>
      <c r="Y896" t="s">
        <v>12724</v>
      </c>
      <c r="Z896" t="s">
        <v>12725</v>
      </c>
      <c r="AA896" t="s">
        <v>12726</v>
      </c>
      <c r="AB896" t="s">
        <v>12727</v>
      </c>
      <c r="AC896" t="s">
        <v>74</v>
      </c>
      <c r="AD896" t="s">
        <v>74</v>
      </c>
      <c r="AE896" t="s">
        <v>74</v>
      </c>
      <c r="AF896" t="s">
        <v>74</v>
      </c>
      <c r="AG896">
        <v>33</v>
      </c>
      <c r="AH896">
        <v>40</v>
      </c>
      <c r="AI896">
        <v>44</v>
      </c>
      <c r="AJ896">
        <v>0</v>
      </c>
      <c r="AK896">
        <v>18</v>
      </c>
      <c r="AL896" t="s">
        <v>1755</v>
      </c>
      <c r="AM896" t="s">
        <v>1756</v>
      </c>
      <c r="AN896" t="s">
        <v>1757</v>
      </c>
      <c r="AO896" t="s">
        <v>1758</v>
      </c>
      <c r="AP896" t="s">
        <v>1759</v>
      </c>
      <c r="AQ896" t="s">
        <v>74</v>
      </c>
      <c r="AR896" t="s">
        <v>1760</v>
      </c>
      <c r="AS896" t="s">
        <v>1761</v>
      </c>
      <c r="AT896" t="s">
        <v>11880</v>
      </c>
      <c r="AU896">
        <v>2004</v>
      </c>
      <c r="AV896">
        <v>144</v>
      </c>
      <c r="AW896">
        <v>5</v>
      </c>
      <c r="AX896" t="s">
        <v>74</v>
      </c>
      <c r="AY896" t="s">
        <v>74</v>
      </c>
      <c r="AZ896" t="s">
        <v>74</v>
      </c>
      <c r="BA896" t="s">
        <v>74</v>
      </c>
      <c r="BB896">
        <v>977</v>
      </c>
      <c r="BC896">
        <v>984</v>
      </c>
      <c r="BD896" t="s">
        <v>74</v>
      </c>
      <c r="BE896" t="s">
        <v>12728</v>
      </c>
      <c r="BF896" t="str">
        <f>HYPERLINK("http://dx.doi.org/10.1007/s00227-003-1248-8","http://dx.doi.org/10.1007/s00227-003-1248-8")</f>
        <v>http://dx.doi.org/10.1007/s00227-003-1248-8</v>
      </c>
      <c r="BG896" t="s">
        <v>74</v>
      </c>
      <c r="BH896" t="s">
        <v>74</v>
      </c>
      <c r="BI896">
        <v>8</v>
      </c>
      <c r="BJ896" t="s">
        <v>1763</v>
      </c>
      <c r="BK896" t="s">
        <v>139</v>
      </c>
      <c r="BL896" t="s">
        <v>1763</v>
      </c>
      <c r="BM896" t="s">
        <v>12706</v>
      </c>
      <c r="BN896" t="s">
        <v>74</v>
      </c>
      <c r="BO896" t="s">
        <v>74</v>
      </c>
      <c r="BP896" t="s">
        <v>74</v>
      </c>
      <c r="BQ896" t="s">
        <v>74</v>
      </c>
      <c r="BR896" t="s">
        <v>98</v>
      </c>
      <c r="BS896" t="s">
        <v>12729</v>
      </c>
      <c r="BT896" t="str">
        <f>HYPERLINK("https%3A%2F%2Fwww.webofscience.com%2Fwos%2Fwoscc%2Ffull-record%2FWOS:000221115900015","View Full Record in Web of Science")</f>
        <v>View Full Record in Web of Science</v>
      </c>
    </row>
    <row r="897" spans="1:72" x14ac:dyDescent="0.15">
      <c r="A897" t="s">
        <v>122</v>
      </c>
      <c r="B897" t="s">
        <v>12730</v>
      </c>
      <c r="C897" t="s">
        <v>74</v>
      </c>
      <c r="D897" t="s">
        <v>74</v>
      </c>
      <c r="E897" t="s">
        <v>74</v>
      </c>
      <c r="F897" t="s">
        <v>12730</v>
      </c>
      <c r="G897" t="s">
        <v>74</v>
      </c>
      <c r="H897" t="s">
        <v>74</v>
      </c>
      <c r="I897" t="s">
        <v>12731</v>
      </c>
      <c r="J897" t="s">
        <v>12732</v>
      </c>
      <c r="K897" t="s">
        <v>74</v>
      </c>
      <c r="L897" t="s">
        <v>74</v>
      </c>
      <c r="M897" t="s">
        <v>79</v>
      </c>
      <c r="N897" t="s">
        <v>126</v>
      </c>
      <c r="O897" t="s">
        <v>74</v>
      </c>
      <c r="P897" t="s">
        <v>74</v>
      </c>
      <c r="Q897" t="s">
        <v>74</v>
      </c>
      <c r="R897" t="s">
        <v>74</v>
      </c>
      <c r="S897" t="s">
        <v>74</v>
      </c>
      <c r="T897" t="s">
        <v>12733</v>
      </c>
      <c r="U897" t="s">
        <v>12734</v>
      </c>
      <c r="V897" t="s">
        <v>12735</v>
      </c>
      <c r="W897" t="s">
        <v>12736</v>
      </c>
      <c r="X897" t="s">
        <v>12737</v>
      </c>
      <c r="Y897" t="s">
        <v>12738</v>
      </c>
      <c r="Z897" t="s">
        <v>12739</v>
      </c>
      <c r="AA897" t="s">
        <v>12740</v>
      </c>
      <c r="AB897" t="s">
        <v>12741</v>
      </c>
      <c r="AC897" t="s">
        <v>74</v>
      </c>
      <c r="AD897" t="s">
        <v>74</v>
      </c>
      <c r="AE897" t="s">
        <v>74</v>
      </c>
      <c r="AF897" t="s">
        <v>74</v>
      </c>
      <c r="AG897">
        <v>63</v>
      </c>
      <c r="AH897">
        <v>23</v>
      </c>
      <c r="AI897">
        <v>27</v>
      </c>
      <c r="AJ897">
        <v>0</v>
      </c>
      <c r="AK897">
        <v>11</v>
      </c>
      <c r="AL897" t="s">
        <v>1509</v>
      </c>
      <c r="AM897" t="s">
        <v>613</v>
      </c>
      <c r="AN897" t="s">
        <v>1821</v>
      </c>
      <c r="AO897" t="s">
        <v>12742</v>
      </c>
      <c r="AP897" t="s">
        <v>12743</v>
      </c>
      <c r="AQ897" t="s">
        <v>74</v>
      </c>
      <c r="AR897" t="s">
        <v>12744</v>
      </c>
      <c r="AS897" t="s">
        <v>12745</v>
      </c>
      <c r="AT897" t="s">
        <v>12291</v>
      </c>
      <c r="AU897">
        <v>2004</v>
      </c>
      <c r="AV897">
        <v>6</v>
      </c>
      <c r="AW897">
        <v>3</v>
      </c>
      <c r="AX897" t="s">
        <v>74</v>
      </c>
      <c r="AY897" t="s">
        <v>74</v>
      </c>
      <c r="AZ897" t="s">
        <v>74</v>
      </c>
      <c r="BA897" t="s">
        <v>74</v>
      </c>
      <c r="BB897">
        <v>238</v>
      </c>
      <c r="BC897">
        <v>250</v>
      </c>
      <c r="BD897" t="s">
        <v>74</v>
      </c>
      <c r="BE897" t="s">
        <v>12746</v>
      </c>
      <c r="BF897" t="str">
        <f>HYPERLINK("http://dx.doi.org/10.1007/s10126-003-0016-6","http://dx.doi.org/10.1007/s10126-003-0016-6")</f>
        <v>http://dx.doi.org/10.1007/s10126-003-0016-6</v>
      </c>
      <c r="BG897" t="s">
        <v>74</v>
      </c>
      <c r="BH897" t="s">
        <v>74</v>
      </c>
      <c r="BI897">
        <v>13</v>
      </c>
      <c r="BJ897" t="s">
        <v>1517</v>
      </c>
      <c r="BK897" t="s">
        <v>139</v>
      </c>
      <c r="BL897" t="s">
        <v>1517</v>
      </c>
      <c r="BM897" t="s">
        <v>12747</v>
      </c>
      <c r="BN897">
        <v>15136912</v>
      </c>
      <c r="BO897" t="s">
        <v>74</v>
      </c>
      <c r="BP897" t="s">
        <v>74</v>
      </c>
      <c r="BQ897" t="s">
        <v>74</v>
      </c>
      <c r="BR897" t="s">
        <v>98</v>
      </c>
      <c r="BS897" t="s">
        <v>12748</v>
      </c>
      <c r="BT897" t="str">
        <f>HYPERLINK("https%3A%2F%2Fwww.webofscience.com%2Fwos%2Fwoscc%2Ffull-record%2FWOS:000222442400006","View Full Record in Web of Science")</f>
        <v>View Full Record in Web of Science</v>
      </c>
    </row>
    <row r="898" spans="1:72" x14ac:dyDescent="0.15">
      <c r="A898" t="s">
        <v>122</v>
      </c>
      <c r="B898" t="s">
        <v>6422</v>
      </c>
      <c r="C898" t="s">
        <v>74</v>
      </c>
      <c r="D898" t="s">
        <v>74</v>
      </c>
      <c r="E898" t="s">
        <v>74</v>
      </c>
      <c r="F898" t="s">
        <v>6422</v>
      </c>
      <c r="G898" t="s">
        <v>74</v>
      </c>
      <c r="H898" t="s">
        <v>74</v>
      </c>
      <c r="I898" t="s">
        <v>12749</v>
      </c>
      <c r="J898" t="s">
        <v>6435</v>
      </c>
      <c r="K898" t="s">
        <v>74</v>
      </c>
      <c r="L898" t="s">
        <v>74</v>
      </c>
      <c r="M898" t="s">
        <v>79</v>
      </c>
      <c r="N898" t="s">
        <v>126</v>
      </c>
      <c r="O898" t="s">
        <v>74</v>
      </c>
      <c r="P898" t="s">
        <v>74</v>
      </c>
      <c r="Q898" t="s">
        <v>74</v>
      </c>
      <c r="R898" t="s">
        <v>74</v>
      </c>
      <c r="S898" t="s">
        <v>74</v>
      </c>
      <c r="T898" t="s">
        <v>12750</v>
      </c>
      <c r="U898" t="s">
        <v>12751</v>
      </c>
      <c r="V898" t="s">
        <v>12752</v>
      </c>
      <c r="W898" t="s">
        <v>12753</v>
      </c>
      <c r="X898" t="s">
        <v>6427</v>
      </c>
      <c r="Y898" t="s">
        <v>6428</v>
      </c>
      <c r="Z898" t="s">
        <v>6429</v>
      </c>
      <c r="AA898" t="s">
        <v>74</v>
      </c>
      <c r="AB898" t="s">
        <v>6430</v>
      </c>
      <c r="AC898" t="s">
        <v>74</v>
      </c>
      <c r="AD898" t="s">
        <v>74</v>
      </c>
      <c r="AE898" t="s">
        <v>74</v>
      </c>
      <c r="AF898" t="s">
        <v>74</v>
      </c>
      <c r="AG898">
        <v>47</v>
      </c>
      <c r="AH898">
        <v>47</v>
      </c>
      <c r="AI898">
        <v>53</v>
      </c>
      <c r="AJ898">
        <v>2</v>
      </c>
      <c r="AK898">
        <v>32</v>
      </c>
      <c r="AL898" t="s">
        <v>1418</v>
      </c>
      <c r="AM898" t="s">
        <v>1419</v>
      </c>
      <c r="AN898" t="s">
        <v>1420</v>
      </c>
      <c r="AO898" t="s">
        <v>6444</v>
      </c>
      <c r="AP898" t="s">
        <v>74</v>
      </c>
      <c r="AQ898" t="s">
        <v>74</v>
      </c>
      <c r="AR898" t="s">
        <v>6445</v>
      </c>
      <c r="AS898" t="s">
        <v>6446</v>
      </c>
      <c r="AT898" t="s">
        <v>11880</v>
      </c>
      <c r="AU898">
        <v>2004</v>
      </c>
      <c r="AV898">
        <v>25</v>
      </c>
      <c r="AW898">
        <v>1</v>
      </c>
      <c r="AX898" t="s">
        <v>74</v>
      </c>
      <c r="AY898" t="s">
        <v>74</v>
      </c>
      <c r="AZ898" t="s">
        <v>74</v>
      </c>
      <c r="BA898" t="s">
        <v>74</v>
      </c>
      <c r="BB898">
        <v>15</v>
      </c>
      <c r="BC898">
        <v>34</v>
      </c>
      <c r="BD898" t="s">
        <v>74</v>
      </c>
      <c r="BE898" t="s">
        <v>12754</v>
      </c>
      <c r="BF898" t="str">
        <f>HYPERLINK("http://dx.doi.org/10.1111/j.1439-0485.2004.00015.x","http://dx.doi.org/10.1111/j.1439-0485.2004.00015.x")</f>
        <v>http://dx.doi.org/10.1111/j.1439-0485.2004.00015.x</v>
      </c>
      <c r="BG898" t="s">
        <v>74</v>
      </c>
      <c r="BH898" t="s">
        <v>74</v>
      </c>
      <c r="BI898">
        <v>20</v>
      </c>
      <c r="BJ898" t="s">
        <v>1763</v>
      </c>
      <c r="BK898" t="s">
        <v>139</v>
      </c>
      <c r="BL898" t="s">
        <v>1763</v>
      </c>
      <c r="BM898" t="s">
        <v>12755</v>
      </c>
      <c r="BN898" t="s">
        <v>74</v>
      </c>
      <c r="BO898" t="s">
        <v>74</v>
      </c>
      <c r="BP898" t="s">
        <v>74</v>
      </c>
      <c r="BQ898" t="s">
        <v>74</v>
      </c>
      <c r="BR898" t="s">
        <v>98</v>
      </c>
      <c r="BS898" t="s">
        <v>12756</v>
      </c>
      <c r="BT898" t="str">
        <f>HYPERLINK("https%3A%2F%2Fwww.webofscience.com%2Fwos%2Fwoscc%2Ffull-record%2FWOS:000221230800002","View Full Record in Web of Science")</f>
        <v>View Full Record in Web of Science</v>
      </c>
    </row>
    <row r="899" spans="1:72" x14ac:dyDescent="0.15">
      <c r="A899" t="s">
        <v>122</v>
      </c>
      <c r="B899" t="s">
        <v>12757</v>
      </c>
      <c r="C899" t="s">
        <v>74</v>
      </c>
      <c r="D899" t="s">
        <v>74</v>
      </c>
      <c r="E899" t="s">
        <v>74</v>
      </c>
      <c r="F899" t="s">
        <v>12757</v>
      </c>
      <c r="G899" t="s">
        <v>74</v>
      </c>
      <c r="H899" t="s">
        <v>74</v>
      </c>
      <c r="I899" t="s">
        <v>12758</v>
      </c>
      <c r="J899" t="s">
        <v>7981</v>
      </c>
      <c r="K899" t="s">
        <v>74</v>
      </c>
      <c r="L899" t="s">
        <v>74</v>
      </c>
      <c r="M899" t="s">
        <v>79</v>
      </c>
      <c r="N899" t="s">
        <v>126</v>
      </c>
      <c r="O899" t="s">
        <v>74</v>
      </c>
      <c r="P899" t="s">
        <v>74</v>
      </c>
      <c r="Q899" t="s">
        <v>74</v>
      </c>
      <c r="R899" t="s">
        <v>74</v>
      </c>
      <c r="S899" t="s">
        <v>74</v>
      </c>
      <c r="T899" t="s">
        <v>12759</v>
      </c>
      <c r="U899" t="s">
        <v>12760</v>
      </c>
      <c r="V899" t="s">
        <v>12761</v>
      </c>
      <c r="W899" t="s">
        <v>12762</v>
      </c>
      <c r="X899" t="s">
        <v>12763</v>
      </c>
      <c r="Y899" t="s">
        <v>7614</v>
      </c>
      <c r="Z899" t="s">
        <v>7615</v>
      </c>
      <c r="AA899" t="s">
        <v>12764</v>
      </c>
      <c r="AB899" t="s">
        <v>12765</v>
      </c>
      <c r="AC899" t="s">
        <v>74</v>
      </c>
      <c r="AD899" t="s">
        <v>74</v>
      </c>
      <c r="AE899" t="s">
        <v>74</v>
      </c>
      <c r="AF899" t="s">
        <v>74</v>
      </c>
      <c r="AG899">
        <v>37</v>
      </c>
      <c r="AH899">
        <v>72</v>
      </c>
      <c r="AI899">
        <v>87</v>
      </c>
      <c r="AJ899">
        <v>0</v>
      </c>
      <c r="AK899">
        <v>48</v>
      </c>
      <c r="AL899" t="s">
        <v>3797</v>
      </c>
      <c r="AM899" t="s">
        <v>197</v>
      </c>
      <c r="AN899" t="s">
        <v>3798</v>
      </c>
      <c r="AO899" t="s">
        <v>7994</v>
      </c>
      <c r="AP899" t="s">
        <v>7995</v>
      </c>
      <c r="AQ899" t="s">
        <v>74</v>
      </c>
      <c r="AR899" t="s">
        <v>7996</v>
      </c>
      <c r="AS899" t="s">
        <v>7997</v>
      </c>
      <c r="AT899" t="s">
        <v>11880</v>
      </c>
      <c r="AU899">
        <v>2004</v>
      </c>
      <c r="AV899">
        <v>57</v>
      </c>
      <c r="AW899">
        <v>4</v>
      </c>
      <c r="AX899" t="s">
        <v>74</v>
      </c>
      <c r="AY899" t="s">
        <v>74</v>
      </c>
      <c r="AZ899" t="s">
        <v>74</v>
      </c>
      <c r="BA899" t="s">
        <v>74</v>
      </c>
      <c r="BB899">
        <v>311</v>
      </c>
      <c r="BC899">
        <v>327</v>
      </c>
      <c r="BD899" t="s">
        <v>74</v>
      </c>
      <c r="BE899" t="s">
        <v>12766</v>
      </c>
      <c r="BF899" t="str">
        <f>HYPERLINK("http://dx.doi.org/10.1016/j.marenvres.2003.07.001","http://dx.doi.org/10.1016/j.marenvres.2003.07.001")</f>
        <v>http://dx.doi.org/10.1016/j.marenvres.2003.07.001</v>
      </c>
      <c r="BG899" t="s">
        <v>74</v>
      </c>
      <c r="BH899" t="s">
        <v>74</v>
      </c>
      <c r="BI899">
        <v>17</v>
      </c>
      <c r="BJ899" t="s">
        <v>8001</v>
      </c>
      <c r="BK899" t="s">
        <v>139</v>
      </c>
      <c r="BL899" t="s">
        <v>8002</v>
      </c>
      <c r="BM899" t="s">
        <v>12767</v>
      </c>
      <c r="BN899">
        <v>14749062</v>
      </c>
      <c r="BO899" t="s">
        <v>74</v>
      </c>
      <c r="BP899" t="s">
        <v>74</v>
      </c>
      <c r="BQ899" t="s">
        <v>74</v>
      </c>
      <c r="BR899" t="s">
        <v>98</v>
      </c>
      <c r="BS899" t="s">
        <v>12768</v>
      </c>
      <c r="BT899" t="str">
        <f>HYPERLINK("https%3A%2F%2Fwww.webofscience.com%2Fwos%2Fwoscc%2Ffull-record%2FWOS:000188801200005","View Full Record in Web of Science")</f>
        <v>View Full Record in Web of Science</v>
      </c>
    </row>
    <row r="900" spans="1:72" x14ac:dyDescent="0.15">
      <c r="A900" t="s">
        <v>122</v>
      </c>
      <c r="B900" t="s">
        <v>12769</v>
      </c>
      <c r="C900" t="s">
        <v>74</v>
      </c>
      <c r="D900" t="s">
        <v>74</v>
      </c>
      <c r="E900" t="s">
        <v>74</v>
      </c>
      <c r="F900" t="s">
        <v>12769</v>
      </c>
      <c r="G900" t="s">
        <v>74</v>
      </c>
      <c r="H900" t="s">
        <v>74</v>
      </c>
      <c r="I900" t="s">
        <v>12770</v>
      </c>
      <c r="J900" t="s">
        <v>3532</v>
      </c>
      <c r="K900" t="s">
        <v>74</v>
      </c>
      <c r="L900" t="s">
        <v>74</v>
      </c>
      <c r="M900" t="s">
        <v>79</v>
      </c>
      <c r="N900" t="s">
        <v>126</v>
      </c>
      <c r="O900" t="s">
        <v>74</v>
      </c>
      <c r="P900" t="s">
        <v>74</v>
      </c>
      <c r="Q900" t="s">
        <v>74</v>
      </c>
      <c r="R900" t="s">
        <v>74</v>
      </c>
      <c r="S900" t="s">
        <v>74</v>
      </c>
      <c r="T900" t="s">
        <v>74</v>
      </c>
      <c r="U900" t="s">
        <v>12771</v>
      </c>
      <c r="V900" t="s">
        <v>12772</v>
      </c>
      <c r="W900" t="s">
        <v>12773</v>
      </c>
      <c r="X900" t="s">
        <v>12774</v>
      </c>
      <c r="Y900" t="s">
        <v>12775</v>
      </c>
      <c r="Z900" t="s">
        <v>12776</v>
      </c>
      <c r="AA900" t="s">
        <v>74</v>
      </c>
      <c r="AB900" t="s">
        <v>74</v>
      </c>
      <c r="AC900" t="s">
        <v>74</v>
      </c>
      <c r="AD900" t="s">
        <v>74</v>
      </c>
      <c r="AE900" t="s">
        <v>74</v>
      </c>
      <c r="AF900" t="s">
        <v>74</v>
      </c>
      <c r="AG900">
        <v>33</v>
      </c>
      <c r="AH900">
        <v>24</v>
      </c>
      <c r="AI900">
        <v>35</v>
      </c>
      <c r="AJ900">
        <v>0</v>
      </c>
      <c r="AK900">
        <v>11</v>
      </c>
      <c r="AL900" t="s">
        <v>1418</v>
      </c>
      <c r="AM900" t="s">
        <v>1419</v>
      </c>
      <c r="AN900" t="s">
        <v>1420</v>
      </c>
      <c r="AO900" t="s">
        <v>3543</v>
      </c>
      <c r="AP900" t="s">
        <v>3558</v>
      </c>
      <c r="AQ900" t="s">
        <v>74</v>
      </c>
      <c r="AR900" t="s">
        <v>3544</v>
      </c>
      <c r="AS900" t="s">
        <v>3545</v>
      </c>
      <c r="AT900" t="s">
        <v>11880</v>
      </c>
      <c r="AU900">
        <v>2004</v>
      </c>
      <c r="AV900">
        <v>39</v>
      </c>
      <c r="AW900">
        <v>5</v>
      </c>
      <c r="AX900" t="s">
        <v>74</v>
      </c>
      <c r="AY900" t="s">
        <v>74</v>
      </c>
      <c r="AZ900" t="s">
        <v>74</v>
      </c>
      <c r="BA900" t="s">
        <v>74</v>
      </c>
      <c r="BB900">
        <v>701</v>
      </c>
      <c r="BC900">
        <v>709</v>
      </c>
      <c r="BD900" t="s">
        <v>74</v>
      </c>
      <c r="BE900" t="s">
        <v>12777</v>
      </c>
      <c r="BF900" t="str">
        <f>HYPERLINK("http://dx.doi.org/10.1111/j.1945-5100.2004.tb00113.x","http://dx.doi.org/10.1111/j.1945-5100.2004.tb00113.x")</f>
        <v>http://dx.doi.org/10.1111/j.1945-5100.2004.tb00113.x</v>
      </c>
      <c r="BG900" t="s">
        <v>74</v>
      </c>
      <c r="BH900" t="s">
        <v>74</v>
      </c>
      <c r="BI900">
        <v>9</v>
      </c>
      <c r="BJ900" t="s">
        <v>271</v>
      </c>
      <c r="BK900" t="s">
        <v>139</v>
      </c>
      <c r="BL900" t="s">
        <v>271</v>
      </c>
      <c r="BM900" t="s">
        <v>12778</v>
      </c>
      <c r="BN900" t="s">
        <v>74</v>
      </c>
      <c r="BO900" t="s">
        <v>518</v>
      </c>
      <c r="BP900" t="s">
        <v>74</v>
      </c>
      <c r="BQ900" t="s">
        <v>74</v>
      </c>
      <c r="BR900" t="s">
        <v>98</v>
      </c>
      <c r="BS900" t="s">
        <v>12779</v>
      </c>
      <c r="BT900" t="str">
        <f>HYPERLINK("https%3A%2F%2Fwww.webofscience.com%2Fwos%2Fwoscc%2Ffull-record%2FWOS:000221584200005","View Full Record in Web of Science")</f>
        <v>View Full Record in Web of Science</v>
      </c>
    </row>
    <row r="901" spans="1:72" x14ac:dyDescent="0.15">
      <c r="A901" t="s">
        <v>122</v>
      </c>
      <c r="B901" t="s">
        <v>12780</v>
      </c>
      <c r="C901" t="s">
        <v>74</v>
      </c>
      <c r="D901" t="s">
        <v>74</v>
      </c>
      <c r="E901" t="s">
        <v>74</v>
      </c>
      <c r="F901" t="s">
        <v>12780</v>
      </c>
      <c r="G901" t="s">
        <v>74</v>
      </c>
      <c r="H901" t="s">
        <v>74</v>
      </c>
      <c r="I901" t="s">
        <v>12781</v>
      </c>
      <c r="J901" t="s">
        <v>3532</v>
      </c>
      <c r="K901" t="s">
        <v>74</v>
      </c>
      <c r="L901" t="s">
        <v>74</v>
      </c>
      <c r="M901" t="s">
        <v>79</v>
      </c>
      <c r="N901" t="s">
        <v>126</v>
      </c>
      <c r="O901" t="s">
        <v>74</v>
      </c>
      <c r="P901" t="s">
        <v>74</v>
      </c>
      <c r="Q901" t="s">
        <v>74</v>
      </c>
      <c r="R901" t="s">
        <v>74</v>
      </c>
      <c r="S901" t="s">
        <v>74</v>
      </c>
      <c r="T901" t="s">
        <v>74</v>
      </c>
      <c r="U901" t="s">
        <v>12782</v>
      </c>
      <c r="V901" t="s">
        <v>12783</v>
      </c>
      <c r="W901" t="s">
        <v>12784</v>
      </c>
      <c r="X901" t="s">
        <v>12785</v>
      </c>
      <c r="Y901" t="s">
        <v>12786</v>
      </c>
      <c r="Z901" t="s">
        <v>12787</v>
      </c>
      <c r="AA901" t="s">
        <v>12788</v>
      </c>
      <c r="AB901" t="s">
        <v>12789</v>
      </c>
      <c r="AC901" t="s">
        <v>74</v>
      </c>
      <c r="AD901" t="s">
        <v>74</v>
      </c>
      <c r="AE901" t="s">
        <v>74</v>
      </c>
      <c r="AF901" t="s">
        <v>74</v>
      </c>
      <c r="AG901">
        <v>17</v>
      </c>
      <c r="AH901">
        <v>30</v>
      </c>
      <c r="AI901">
        <v>33</v>
      </c>
      <c r="AJ901">
        <v>0</v>
      </c>
      <c r="AK901">
        <v>9</v>
      </c>
      <c r="AL901" t="s">
        <v>1418</v>
      </c>
      <c r="AM901" t="s">
        <v>1419</v>
      </c>
      <c r="AN901" t="s">
        <v>1420</v>
      </c>
      <c r="AO901" t="s">
        <v>3543</v>
      </c>
      <c r="AP901" t="s">
        <v>3558</v>
      </c>
      <c r="AQ901" t="s">
        <v>74</v>
      </c>
      <c r="AR901" t="s">
        <v>3544</v>
      </c>
      <c r="AS901" t="s">
        <v>3545</v>
      </c>
      <c r="AT901" t="s">
        <v>11880</v>
      </c>
      <c r="AU901">
        <v>2004</v>
      </c>
      <c r="AV901">
        <v>39</v>
      </c>
      <c r="AW901">
        <v>5</v>
      </c>
      <c r="AX901" t="s">
        <v>74</v>
      </c>
      <c r="AY901" t="s">
        <v>74</v>
      </c>
      <c r="AZ901" t="s">
        <v>74</v>
      </c>
      <c r="BA901" t="s">
        <v>74</v>
      </c>
      <c r="BB901">
        <v>747</v>
      </c>
      <c r="BC901">
        <v>754</v>
      </c>
      <c r="BD901" t="s">
        <v>74</v>
      </c>
      <c r="BE901" t="s">
        <v>12790</v>
      </c>
      <c r="BF901" t="str">
        <f>HYPERLINK("http://dx.doi.org/10.1111/j.1945-5100.2004.tb00116.x","http://dx.doi.org/10.1111/j.1945-5100.2004.tb00116.x")</f>
        <v>http://dx.doi.org/10.1111/j.1945-5100.2004.tb00116.x</v>
      </c>
      <c r="BG901" t="s">
        <v>74</v>
      </c>
      <c r="BH901" t="s">
        <v>74</v>
      </c>
      <c r="BI901">
        <v>8</v>
      </c>
      <c r="BJ901" t="s">
        <v>271</v>
      </c>
      <c r="BK901" t="s">
        <v>139</v>
      </c>
      <c r="BL901" t="s">
        <v>271</v>
      </c>
      <c r="BM901" t="s">
        <v>12778</v>
      </c>
      <c r="BN901" t="s">
        <v>74</v>
      </c>
      <c r="BO901" t="s">
        <v>74</v>
      </c>
      <c r="BP901" t="s">
        <v>74</v>
      </c>
      <c r="BQ901" t="s">
        <v>74</v>
      </c>
      <c r="BR901" t="s">
        <v>98</v>
      </c>
      <c r="BS901" t="s">
        <v>12791</v>
      </c>
      <c r="BT901" t="str">
        <f>HYPERLINK("https%3A%2F%2Fwww.webofscience.com%2Fwos%2Fwoscc%2Ffull-record%2FWOS:000221584200008","View Full Record in Web of Science")</f>
        <v>View Full Record in Web of Science</v>
      </c>
    </row>
    <row r="902" spans="1:72" x14ac:dyDescent="0.15">
      <c r="A902" t="s">
        <v>122</v>
      </c>
      <c r="B902" t="s">
        <v>3019</v>
      </c>
      <c r="C902" t="s">
        <v>74</v>
      </c>
      <c r="D902" t="s">
        <v>74</v>
      </c>
      <c r="E902" t="s">
        <v>74</v>
      </c>
      <c r="F902" t="s">
        <v>3019</v>
      </c>
      <c r="G902" t="s">
        <v>74</v>
      </c>
      <c r="H902" t="s">
        <v>74</v>
      </c>
      <c r="I902" t="s">
        <v>12792</v>
      </c>
      <c r="J902" t="s">
        <v>1812</v>
      </c>
      <c r="K902" t="s">
        <v>74</v>
      </c>
      <c r="L902" t="s">
        <v>74</v>
      </c>
      <c r="M902" t="s">
        <v>79</v>
      </c>
      <c r="N902" t="s">
        <v>126</v>
      </c>
      <c r="O902" t="s">
        <v>74</v>
      </c>
      <c r="P902" t="s">
        <v>74</v>
      </c>
      <c r="Q902" t="s">
        <v>74</v>
      </c>
      <c r="R902" t="s">
        <v>74</v>
      </c>
      <c r="S902" t="s">
        <v>74</v>
      </c>
      <c r="T902" t="s">
        <v>74</v>
      </c>
      <c r="U902" t="s">
        <v>12793</v>
      </c>
      <c r="V902" t="s">
        <v>12794</v>
      </c>
      <c r="W902" t="s">
        <v>12795</v>
      </c>
      <c r="X902" t="s">
        <v>3025</v>
      </c>
      <c r="Y902" t="s">
        <v>12796</v>
      </c>
      <c r="Z902" t="s">
        <v>3027</v>
      </c>
      <c r="AA902" t="s">
        <v>12797</v>
      </c>
      <c r="AB902" t="s">
        <v>12798</v>
      </c>
      <c r="AC902" t="s">
        <v>74</v>
      </c>
      <c r="AD902" t="s">
        <v>74</v>
      </c>
      <c r="AE902" t="s">
        <v>74</v>
      </c>
      <c r="AF902" t="s">
        <v>74</v>
      </c>
      <c r="AG902">
        <v>35</v>
      </c>
      <c r="AH902">
        <v>28</v>
      </c>
      <c r="AI902">
        <v>32</v>
      </c>
      <c r="AJ902">
        <v>0</v>
      </c>
      <c r="AK902">
        <v>4</v>
      </c>
      <c r="AL902" t="s">
        <v>1509</v>
      </c>
      <c r="AM902" t="s">
        <v>613</v>
      </c>
      <c r="AN902" t="s">
        <v>1776</v>
      </c>
      <c r="AO902" t="s">
        <v>1822</v>
      </c>
      <c r="AP902" t="s">
        <v>74</v>
      </c>
      <c r="AQ902" t="s">
        <v>74</v>
      </c>
      <c r="AR902" t="s">
        <v>12799</v>
      </c>
      <c r="AS902" t="s">
        <v>1825</v>
      </c>
      <c r="AT902" t="s">
        <v>11880</v>
      </c>
      <c r="AU902">
        <v>2004</v>
      </c>
      <c r="AV902">
        <v>47</v>
      </c>
      <c r="AW902">
        <v>4</v>
      </c>
      <c r="AX902" t="s">
        <v>74</v>
      </c>
      <c r="AY902" t="s">
        <v>74</v>
      </c>
      <c r="AZ902" t="s">
        <v>74</v>
      </c>
      <c r="BA902" t="s">
        <v>74</v>
      </c>
      <c r="BB902">
        <v>407</v>
      </c>
      <c r="BC902">
        <v>415</v>
      </c>
      <c r="BD902" t="s">
        <v>74</v>
      </c>
      <c r="BE902" t="s">
        <v>12800</v>
      </c>
      <c r="BF902" t="str">
        <f>HYPERLINK("http://dx.doi.org/10.1007/s00248-003-2024-5","http://dx.doi.org/10.1007/s00248-003-2024-5")</f>
        <v>http://dx.doi.org/10.1007/s00248-003-2024-5</v>
      </c>
      <c r="BG902" t="s">
        <v>74</v>
      </c>
      <c r="BH902" t="s">
        <v>74</v>
      </c>
      <c r="BI902">
        <v>9</v>
      </c>
      <c r="BJ902" t="s">
        <v>515</v>
      </c>
      <c r="BK902" t="s">
        <v>139</v>
      </c>
      <c r="BL902" t="s">
        <v>516</v>
      </c>
      <c r="BM902" t="s">
        <v>12801</v>
      </c>
      <c r="BN902">
        <v>14681739</v>
      </c>
      <c r="BO902" t="s">
        <v>74</v>
      </c>
      <c r="BP902" t="s">
        <v>74</v>
      </c>
      <c r="BQ902" t="s">
        <v>74</v>
      </c>
      <c r="BR902" t="s">
        <v>98</v>
      </c>
      <c r="BS902" t="s">
        <v>12802</v>
      </c>
      <c r="BT902" t="str">
        <f>HYPERLINK("https%3A%2F%2Fwww.webofscience.com%2Fwos%2Fwoscc%2Ffull-record%2FWOS:000222608100011","View Full Record in Web of Science")</f>
        <v>View Full Record in Web of Science</v>
      </c>
    </row>
    <row r="903" spans="1:72" x14ac:dyDescent="0.15">
      <c r="A903" t="s">
        <v>122</v>
      </c>
      <c r="B903" t="s">
        <v>12803</v>
      </c>
      <c r="C903" t="s">
        <v>74</v>
      </c>
      <c r="D903" t="s">
        <v>74</v>
      </c>
      <c r="E903" t="s">
        <v>74</v>
      </c>
      <c r="F903" t="s">
        <v>12803</v>
      </c>
      <c r="G903" t="s">
        <v>74</v>
      </c>
      <c r="H903" t="s">
        <v>74</v>
      </c>
      <c r="I903" t="s">
        <v>12804</v>
      </c>
      <c r="J903" t="s">
        <v>12805</v>
      </c>
      <c r="K903" t="s">
        <v>74</v>
      </c>
      <c r="L903" t="s">
        <v>74</v>
      </c>
      <c r="M903" t="s">
        <v>79</v>
      </c>
      <c r="N903" t="s">
        <v>581</v>
      </c>
      <c r="O903" t="s">
        <v>74</v>
      </c>
      <c r="P903" t="s">
        <v>74</v>
      </c>
      <c r="Q903" t="s">
        <v>74</v>
      </c>
      <c r="R903" t="s">
        <v>74</v>
      </c>
      <c r="S903" t="s">
        <v>74</v>
      </c>
      <c r="T903" t="s">
        <v>12806</v>
      </c>
      <c r="U903" t="s">
        <v>12807</v>
      </c>
      <c r="V903" t="s">
        <v>12808</v>
      </c>
      <c r="W903" t="s">
        <v>12809</v>
      </c>
      <c r="X903" t="s">
        <v>12810</v>
      </c>
      <c r="Y903" t="s">
        <v>12811</v>
      </c>
      <c r="Z903" t="s">
        <v>12812</v>
      </c>
      <c r="AA903" t="s">
        <v>12813</v>
      </c>
      <c r="AB903" t="s">
        <v>12814</v>
      </c>
      <c r="AC903" t="s">
        <v>74</v>
      </c>
      <c r="AD903" t="s">
        <v>74</v>
      </c>
      <c r="AE903" t="s">
        <v>74</v>
      </c>
      <c r="AF903" t="s">
        <v>74</v>
      </c>
      <c r="AG903">
        <v>112</v>
      </c>
      <c r="AH903">
        <v>52</v>
      </c>
      <c r="AI903">
        <v>55</v>
      </c>
      <c r="AJ903">
        <v>0</v>
      </c>
      <c r="AK903">
        <v>22</v>
      </c>
      <c r="AL903" t="s">
        <v>1509</v>
      </c>
      <c r="AM903" t="s">
        <v>613</v>
      </c>
      <c r="AN903" t="s">
        <v>1821</v>
      </c>
      <c r="AO903" t="s">
        <v>12815</v>
      </c>
      <c r="AP903" t="s">
        <v>12816</v>
      </c>
      <c r="AQ903" t="s">
        <v>74</v>
      </c>
      <c r="AR903" t="s">
        <v>12817</v>
      </c>
      <c r="AS903" t="s">
        <v>12818</v>
      </c>
      <c r="AT903" t="s">
        <v>11880</v>
      </c>
      <c r="AU903">
        <v>2004</v>
      </c>
      <c r="AV903">
        <v>39</v>
      </c>
      <c r="AW903">
        <v>3</v>
      </c>
      <c r="AX903" t="s">
        <v>74</v>
      </c>
      <c r="AY903" t="s">
        <v>74</v>
      </c>
      <c r="AZ903" t="s">
        <v>74</v>
      </c>
      <c r="BA903" t="s">
        <v>74</v>
      </c>
      <c r="BB903">
        <v>358</v>
      </c>
      <c r="BC903">
        <v>379</v>
      </c>
      <c r="BD903" t="s">
        <v>74</v>
      </c>
      <c r="BE903" t="s">
        <v>12819</v>
      </c>
      <c r="BF903" t="str">
        <f>HYPERLINK("http://dx.doi.org/10.1007/s00126-004-0414-3","http://dx.doi.org/10.1007/s00126-004-0414-3")</f>
        <v>http://dx.doi.org/10.1007/s00126-004-0414-3</v>
      </c>
      <c r="BG903" t="s">
        <v>74</v>
      </c>
      <c r="BH903" t="s">
        <v>74</v>
      </c>
      <c r="BI903">
        <v>22</v>
      </c>
      <c r="BJ903" t="s">
        <v>7945</v>
      </c>
      <c r="BK903" t="s">
        <v>139</v>
      </c>
      <c r="BL903" t="s">
        <v>7945</v>
      </c>
      <c r="BM903" t="s">
        <v>12820</v>
      </c>
      <c r="BN903" t="s">
        <v>74</v>
      </c>
      <c r="BO903" t="s">
        <v>74</v>
      </c>
      <c r="BP903" t="s">
        <v>74</v>
      </c>
      <c r="BQ903" t="s">
        <v>74</v>
      </c>
      <c r="BR903" t="s">
        <v>98</v>
      </c>
      <c r="BS903" t="s">
        <v>12821</v>
      </c>
      <c r="BT903" t="str">
        <f>HYPERLINK("https%3A%2F%2Fwww.webofscience.com%2Fwos%2Fwoscc%2Ffull-record%2FWOS:000221343800007","View Full Record in Web of Science")</f>
        <v>View Full Record in Web of Science</v>
      </c>
    </row>
    <row r="904" spans="1:72" x14ac:dyDescent="0.15">
      <c r="A904" t="s">
        <v>122</v>
      </c>
      <c r="B904" t="s">
        <v>12822</v>
      </c>
      <c r="C904" t="s">
        <v>74</v>
      </c>
      <c r="D904" t="s">
        <v>74</v>
      </c>
      <c r="E904" t="s">
        <v>74</v>
      </c>
      <c r="F904" t="s">
        <v>12822</v>
      </c>
      <c r="G904" t="s">
        <v>74</v>
      </c>
      <c r="H904" t="s">
        <v>74</v>
      </c>
      <c r="I904" t="s">
        <v>12823</v>
      </c>
      <c r="J904" t="s">
        <v>3563</v>
      </c>
      <c r="K904" t="s">
        <v>74</v>
      </c>
      <c r="L904" t="s">
        <v>74</v>
      </c>
      <c r="M904" t="s">
        <v>79</v>
      </c>
      <c r="N904" t="s">
        <v>126</v>
      </c>
      <c r="O904" t="s">
        <v>74</v>
      </c>
      <c r="P904" t="s">
        <v>74</v>
      </c>
      <c r="Q904" t="s">
        <v>74</v>
      </c>
      <c r="R904" t="s">
        <v>74</v>
      </c>
      <c r="S904" t="s">
        <v>74</v>
      </c>
      <c r="T904" t="s">
        <v>12824</v>
      </c>
      <c r="U904" t="s">
        <v>12825</v>
      </c>
      <c r="V904" t="s">
        <v>12826</v>
      </c>
      <c r="W904" t="s">
        <v>12827</v>
      </c>
      <c r="X904" t="s">
        <v>12828</v>
      </c>
      <c r="Y904" t="s">
        <v>5429</v>
      </c>
      <c r="Z904" t="s">
        <v>7775</v>
      </c>
      <c r="AA904" t="s">
        <v>12829</v>
      </c>
      <c r="AB904" t="s">
        <v>12830</v>
      </c>
      <c r="AC904" t="s">
        <v>74</v>
      </c>
      <c r="AD904" t="s">
        <v>74</v>
      </c>
      <c r="AE904" t="s">
        <v>74</v>
      </c>
      <c r="AF904" t="s">
        <v>74</v>
      </c>
      <c r="AG904">
        <v>46</v>
      </c>
      <c r="AH904">
        <v>155</v>
      </c>
      <c r="AI904">
        <v>180</v>
      </c>
      <c r="AJ904">
        <v>1</v>
      </c>
      <c r="AK904">
        <v>63</v>
      </c>
      <c r="AL904" t="s">
        <v>1418</v>
      </c>
      <c r="AM904" t="s">
        <v>1419</v>
      </c>
      <c r="AN904" t="s">
        <v>1420</v>
      </c>
      <c r="AO904" t="s">
        <v>3572</v>
      </c>
      <c r="AP904" t="s">
        <v>6547</v>
      </c>
      <c r="AQ904" t="s">
        <v>74</v>
      </c>
      <c r="AR904" t="s">
        <v>3573</v>
      </c>
      <c r="AS904" t="s">
        <v>3574</v>
      </c>
      <c r="AT904" t="s">
        <v>11880</v>
      </c>
      <c r="AU904">
        <v>2004</v>
      </c>
      <c r="AV904">
        <v>13</v>
      </c>
      <c r="AW904">
        <v>5</v>
      </c>
      <c r="AX904" t="s">
        <v>74</v>
      </c>
      <c r="AY904" t="s">
        <v>74</v>
      </c>
      <c r="AZ904" t="s">
        <v>74</v>
      </c>
      <c r="BA904" t="s">
        <v>74</v>
      </c>
      <c r="BB904">
        <v>1313</v>
      </c>
      <c r="BC904">
        <v>1322</v>
      </c>
      <c r="BD904" t="s">
        <v>74</v>
      </c>
      <c r="BE904" t="s">
        <v>12831</v>
      </c>
      <c r="BF904" t="str">
        <f>HYPERLINK("http://dx.doi.org/10.1111/j.1365-294X.2004.02109.x","http://dx.doi.org/10.1111/j.1365-294X.2004.02109.x")</f>
        <v>http://dx.doi.org/10.1111/j.1365-294X.2004.02109.x</v>
      </c>
      <c r="BG904" t="s">
        <v>74</v>
      </c>
      <c r="BH904" t="s">
        <v>74</v>
      </c>
      <c r="BI904">
        <v>10</v>
      </c>
      <c r="BJ904" t="s">
        <v>3576</v>
      </c>
      <c r="BK904" t="s">
        <v>139</v>
      </c>
      <c r="BL904" t="s">
        <v>3577</v>
      </c>
      <c r="BM904" t="s">
        <v>12832</v>
      </c>
      <c r="BN904">
        <v>15078466</v>
      </c>
      <c r="BO904" t="s">
        <v>74</v>
      </c>
      <c r="BP904" t="s">
        <v>74</v>
      </c>
      <c r="BQ904" t="s">
        <v>74</v>
      </c>
      <c r="BR904" t="s">
        <v>98</v>
      </c>
      <c r="BS904" t="s">
        <v>12833</v>
      </c>
      <c r="BT904" t="str">
        <f>HYPERLINK("https%3A%2F%2Fwww.webofscience.com%2Fwos%2Fwoscc%2Ffull-record%2FWOS:000221016300029","View Full Record in Web of Science")</f>
        <v>View Full Record in Web of Science</v>
      </c>
    </row>
    <row r="905" spans="1:72" x14ac:dyDescent="0.15">
      <c r="A905" t="s">
        <v>122</v>
      </c>
      <c r="B905" t="s">
        <v>12834</v>
      </c>
      <c r="C905" t="s">
        <v>74</v>
      </c>
      <c r="D905" t="s">
        <v>74</v>
      </c>
      <c r="E905" t="s">
        <v>74</v>
      </c>
      <c r="F905" t="s">
        <v>12834</v>
      </c>
      <c r="G905" t="s">
        <v>74</v>
      </c>
      <c r="H905" t="s">
        <v>74</v>
      </c>
      <c r="I905" t="s">
        <v>12835</v>
      </c>
      <c r="J905" t="s">
        <v>3607</v>
      </c>
      <c r="K905" t="s">
        <v>74</v>
      </c>
      <c r="L905" t="s">
        <v>74</v>
      </c>
      <c r="M905" t="s">
        <v>79</v>
      </c>
      <c r="N905" t="s">
        <v>126</v>
      </c>
      <c r="O905" t="s">
        <v>74</v>
      </c>
      <c r="P905" t="s">
        <v>74</v>
      </c>
      <c r="Q905" t="s">
        <v>74</v>
      </c>
      <c r="R905" t="s">
        <v>74</v>
      </c>
      <c r="S905" t="s">
        <v>74</v>
      </c>
      <c r="T905" t="s">
        <v>74</v>
      </c>
      <c r="U905" t="s">
        <v>3328</v>
      </c>
      <c r="V905" t="s">
        <v>12836</v>
      </c>
      <c r="W905" t="s">
        <v>12837</v>
      </c>
      <c r="X905" t="s">
        <v>8748</v>
      </c>
      <c r="Y905" t="s">
        <v>12838</v>
      </c>
      <c r="Z905" t="s">
        <v>74</v>
      </c>
      <c r="AA905" t="s">
        <v>12839</v>
      </c>
      <c r="AB905" t="s">
        <v>12840</v>
      </c>
      <c r="AC905" t="s">
        <v>74</v>
      </c>
      <c r="AD905" t="s">
        <v>74</v>
      </c>
      <c r="AE905" t="s">
        <v>74</v>
      </c>
      <c r="AF905" t="s">
        <v>74</v>
      </c>
      <c r="AG905">
        <v>21</v>
      </c>
      <c r="AH905">
        <v>5</v>
      </c>
      <c r="AI905">
        <v>5</v>
      </c>
      <c r="AJ905">
        <v>0</v>
      </c>
      <c r="AK905">
        <v>1</v>
      </c>
      <c r="AL905" t="s">
        <v>1229</v>
      </c>
      <c r="AM905" t="s">
        <v>613</v>
      </c>
      <c r="AN905" t="s">
        <v>1230</v>
      </c>
      <c r="AO905" t="s">
        <v>3617</v>
      </c>
      <c r="AP905" t="s">
        <v>9554</v>
      </c>
      <c r="AQ905" t="s">
        <v>74</v>
      </c>
      <c r="AR905" t="s">
        <v>3618</v>
      </c>
      <c r="AS905" t="s">
        <v>3619</v>
      </c>
      <c r="AT905" t="s">
        <v>12291</v>
      </c>
      <c r="AU905">
        <v>2004</v>
      </c>
      <c r="AV905">
        <v>44</v>
      </c>
      <c r="AW905">
        <v>3</v>
      </c>
      <c r="AX905" t="s">
        <v>74</v>
      </c>
      <c r="AY905" t="s">
        <v>74</v>
      </c>
      <c r="AZ905" t="s">
        <v>74</v>
      </c>
      <c r="BA905" t="s">
        <v>74</v>
      </c>
      <c r="BB905">
        <v>299</v>
      </c>
      <c r="BC905">
        <v>314</v>
      </c>
      <c r="BD905" t="s">
        <v>74</v>
      </c>
      <c r="BE905" t="s">
        <v>74</v>
      </c>
      <c r="BF905" t="s">
        <v>74</v>
      </c>
      <c r="BG905" t="s">
        <v>74</v>
      </c>
      <c r="BH905" t="s">
        <v>74</v>
      </c>
      <c r="BI905">
        <v>16</v>
      </c>
      <c r="BJ905" t="s">
        <v>660</v>
      </c>
      <c r="BK905" t="s">
        <v>139</v>
      </c>
      <c r="BL905" t="s">
        <v>660</v>
      </c>
      <c r="BM905" t="s">
        <v>12841</v>
      </c>
      <c r="BN905" t="s">
        <v>74</v>
      </c>
      <c r="BO905" t="s">
        <v>74</v>
      </c>
      <c r="BP905" t="s">
        <v>74</v>
      </c>
      <c r="BQ905" t="s">
        <v>74</v>
      </c>
      <c r="BR905" t="s">
        <v>98</v>
      </c>
      <c r="BS905" t="s">
        <v>12842</v>
      </c>
      <c r="BT905" t="str">
        <f>HYPERLINK("https%3A%2F%2Fwww.webofscience.com%2Fwos%2Fwoscc%2Ffull-record%2FWOS:000222344300001","View Full Record in Web of Science")</f>
        <v>View Full Record in Web of Science</v>
      </c>
    </row>
    <row r="906" spans="1:72" x14ac:dyDescent="0.15">
      <c r="A906" t="s">
        <v>122</v>
      </c>
      <c r="B906" t="s">
        <v>12843</v>
      </c>
      <c r="C906" t="s">
        <v>74</v>
      </c>
      <c r="D906" t="s">
        <v>74</v>
      </c>
      <c r="E906" t="s">
        <v>74</v>
      </c>
      <c r="F906" t="s">
        <v>12843</v>
      </c>
      <c r="G906" t="s">
        <v>74</v>
      </c>
      <c r="H906" t="s">
        <v>74</v>
      </c>
      <c r="I906" t="s">
        <v>12844</v>
      </c>
      <c r="J906" t="s">
        <v>6587</v>
      </c>
      <c r="K906" t="s">
        <v>74</v>
      </c>
      <c r="L906" t="s">
        <v>74</v>
      </c>
      <c r="M906" t="s">
        <v>79</v>
      </c>
      <c r="N906" t="s">
        <v>126</v>
      </c>
      <c r="O906" t="s">
        <v>74</v>
      </c>
      <c r="P906" t="s">
        <v>74</v>
      </c>
      <c r="Q906" t="s">
        <v>74</v>
      </c>
      <c r="R906" t="s">
        <v>74</v>
      </c>
      <c r="S906" t="s">
        <v>74</v>
      </c>
      <c r="T906" t="s">
        <v>74</v>
      </c>
      <c r="U906" t="s">
        <v>12845</v>
      </c>
      <c r="V906" t="s">
        <v>12846</v>
      </c>
      <c r="W906" t="s">
        <v>12847</v>
      </c>
      <c r="X906" t="s">
        <v>12848</v>
      </c>
      <c r="Y906" t="s">
        <v>12849</v>
      </c>
      <c r="Z906" t="s">
        <v>12850</v>
      </c>
      <c r="AA906" t="s">
        <v>12851</v>
      </c>
      <c r="AB906" t="s">
        <v>12852</v>
      </c>
      <c r="AC906" t="s">
        <v>74</v>
      </c>
      <c r="AD906" t="s">
        <v>74</v>
      </c>
      <c r="AE906" t="s">
        <v>74</v>
      </c>
      <c r="AF906" t="s">
        <v>74</v>
      </c>
      <c r="AG906">
        <v>37</v>
      </c>
      <c r="AH906">
        <v>50</v>
      </c>
      <c r="AI906">
        <v>54</v>
      </c>
      <c r="AJ906">
        <v>1</v>
      </c>
      <c r="AK906">
        <v>18</v>
      </c>
      <c r="AL906" t="s">
        <v>1418</v>
      </c>
      <c r="AM906" t="s">
        <v>1419</v>
      </c>
      <c r="AN906" t="s">
        <v>1420</v>
      </c>
      <c r="AO906" t="s">
        <v>6596</v>
      </c>
      <c r="AP906" t="s">
        <v>6597</v>
      </c>
      <c r="AQ906" t="s">
        <v>74</v>
      </c>
      <c r="AR906" t="s">
        <v>6587</v>
      </c>
      <c r="AS906" t="s">
        <v>6598</v>
      </c>
      <c r="AT906" t="s">
        <v>11880</v>
      </c>
      <c r="AU906">
        <v>2004</v>
      </c>
      <c r="AV906">
        <v>105</v>
      </c>
      <c r="AW906">
        <v>2</v>
      </c>
      <c r="AX906" t="s">
        <v>74</v>
      </c>
      <c r="AY906" t="s">
        <v>74</v>
      </c>
      <c r="AZ906" t="s">
        <v>74</v>
      </c>
      <c r="BA906" t="s">
        <v>74</v>
      </c>
      <c r="BB906">
        <v>247</v>
      </c>
      <c r="BC906">
        <v>254</v>
      </c>
      <c r="BD906" t="s">
        <v>74</v>
      </c>
      <c r="BE906" t="s">
        <v>12853</v>
      </c>
      <c r="BF906" t="str">
        <f>HYPERLINK("http://dx.doi.org/10.1111/j.0030-1299.2004.12997.x","http://dx.doi.org/10.1111/j.0030-1299.2004.12997.x")</f>
        <v>http://dx.doi.org/10.1111/j.0030-1299.2004.12997.x</v>
      </c>
      <c r="BG906" t="s">
        <v>74</v>
      </c>
      <c r="BH906" t="s">
        <v>74</v>
      </c>
      <c r="BI906">
        <v>8</v>
      </c>
      <c r="BJ906" t="s">
        <v>3165</v>
      </c>
      <c r="BK906" t="s">
        <v>139</v>
      </c>
      <c r="BL906" t="s">
        <v>1305</v>
      </c>
      <c r="BM906" t="s">
        <v>12854</v>
      </c>
      <c r="BN906" t="s">
        <v>74</v>
      </c>
      <c r="BO906" t="s">
        <v>74</v>
      </c>
      <c r="BP906" t="s">
        <v>74</v>
      </c>
      <c r="BQ906" t="s">
        <v>74</v>
      </c>
      <c r="BR906" t="s">
        <v>98</v>
      </c>
      <c r="BS906" t="s">
        <v>12855</v>
      </c>
      <c r="BT906" t="str">
        <f>HYPERLINK("https%3A%2F%2Fwww.webofscience.com%2Fwos%2Fwoscc%2Ffull-record%2FWOS:000220383100005","View Full Record in Web of Science")</f>
        <v>View Full Record in Web of Science</v>
      </c>
    </row>
    <row r="907" spans="1:72" x14ac:dyDescent="0.15">
      <c r="A907" t="s">
        <v>122</v>
      </c>
      <c r="B907" t="s">
        <v>12856</v>
      </c>
      <c r="C907" t="s">
        <v>74</v>
      </c>
      <c r="D907" t="s">
        <v>74</v>
      </c>
      <c r="E907" t="s">
        <v>74</v>
      </c>
      <c r="F907" t="s">
        <v>12856</v>
      </c>
      <c r="G907" t="s">
        <v>74</v>
      </c>
      <c r="H907" t="s">
        <v>74</v>
      </c>
      <c r="I907" t="s">
        <v>12857</v>
      </c>
      <c r="J907" t="s">
        <v>9568</v>
      </c>
      <c r="K907" t="s">
        <v>74</v>
      </c>
      <c r="L907" t="s">
        <v>74</v>
      </c>
      <c r="M907" t="s">
        <v>79</v>
      </c>
      <c r="N907" t="s">
        <v>126</v>
      </c>
      <c r="O907" t="s">
        <v>74</v>
      </c>
      <c r="P907" t="s">
        <v>74</v>
      </c>
      <c r="Q907" t="s">
        <v>74</v>
      </c>
      <c r="R907" t="s">
        <v>74</v>
      </c>
      <c r="S907" t="s">
        <v>74</v>
      </c>
      <c r="T907" t="s">
        <v>12858</v>
      </c>
      <c r="U907" t="s">
        <v>12859</v>
      </c>
      <c r="V907" t="s">
        <v>12860</v>
      </c>
      <c r="W907" t="s">
        <v>12861</v>
      </c>
      <c r="X907" t="s">
        <v>12862</v>
      </c>
      <c r="Y907" t="s">
        <v>12863</v>
      </c>
      <c r="Z907" t="s">
        <v>12864</v>
      </c>
      <c r="AA907" t="s">
        <v>12865</v>
      </c>
      <c r="AB907" t="s">
        <v>12866</v>
      </c>
      <c r="AC907" t="s">
        <v>74</v>
      </c>
      <c r="AD907" t="s">
        <v>74</v>
      </c>
      <c r="AE907" t="s">
        <v>74</v>
      </c>
      <c r="AF907" t="s">
        <v>74</v>
      </c>
      <c r="AG907">
        <v>76</v>
      </c>
      <c r="AH907">
        <v>16</v>
      </c>
      <c r="AI907">
        <v>20</v>
      </c>
      <c r="AJ907">
        <v>0</v>
      </c>
      <c r="AK907">
        <v>4</v>
      </c>
      <c r="AL907" t="s">
        <v>1330</v>
      </c>
      <c r="AM907" t="s">
        <v>197</v>
      </c>
      <c r="AN907" t="s">
        <v>1331</v>
      </c>
      <c r="AO907" t="s">
        <v>9576</v>
      </c>
      <c r="AP907" t="s">
        <v>74</v>
      </c>
      <c r="AQ907" t="s">
        <v>74</v>
      </c>
      <c r="AR907" t="s">
        <v>9568</v>
      </c>
      <c r="AS907" t="s">
        <v>4627</v>
      </c>
      <c r="AT907" t="s">
        <v>11880</v>
      </c>
      <c r="AU907">
        <v>2004</v>
      </c>
      <c r="AV907">
        <v>47</v>
      </c>
      <c r="AW907" t="s">
        <v>74</v>
      </c>
      <c r="AX907">
        <v>3</v>
      </c>
      <c r="AY907" t="s">
        <v>74</v>
      </c>
      <c r="AZ907" t="s">
        <v>74</v>
      </c>
      <c r="BA907" t="s">
        <v>74</v>
      </c>
      <c r="BB907">
        <v>515</v>
      </c>
      <c r="BC907">
        <v>533</v>
      </c>
      <c r="BD907" t="s">
        <v>74</v>
      </c>
      <c r="BE907" t="s">
        <v>12867</v>
      </c>
      <c r="BF907" t="str">
        <f>HYPERLINK("http://dx.doi.org/10.1111/j.0031-0239.2004.00383.x","http://dx.doi.org/10.1111/j.0031-0239.2004.00383.x")</f>
        <v>http://dx.doi.org/10.1111/j.0031-0239.2004.00383.x</v>
      </c>
      <c r="BG907" t="s">
        <v>74</v>
      </c>
      <c r="BH907" t="s">
        <v>74</v>
      </c>
      <c r="BI907">
        <v>19</v>
      </c>
      <c r="BJ907" t="s">
        <v>4627</v>
      </c>
      <c r="BK907" t="s">
        <v>139</v>
      </c>
      <c r="BL907" t="s">
        <v>4627</v>
      </c>
      <c r="BM907" t="s">
        <v>12868</v>
      </c>
      <c r="BN907" t="s">
        <v>74</v>
      </c>
      <c r="BO907" t="s">
        <v>329</v>
      </c>
      <c r="BP907" t="s">
        <v>74</v>
      </c>
      <c r="BQ907" t="s">
        <v>74</v>
      </c>
      <c r="BR907" t="s">
        <v>98</v>
      </c>
      <c r="BS907" t="s">
        <v>12869</v>
      </c>
      <c r="BT907" t="str">
        <f>HYPERLINK("https%3A%2F%2Fwww.webofscience.com%2Fwos%2Fwoscc%2Ffull-record%2FWOS:000221402400003","View Full Record in Web of Science")</f>
        <v>View Full Record in Web of Science</v>
      </c>
    </row>
    <row r="908" spans="1:72" x14ac:dyDescent="0.15">
      <c r="A908" t="s">
        <v>122</v>
      </c>
      <c r="B908" t="s">
        <v>12870</v>
      </c>
      <c r="C908" t="s">
        <v>74</v>
      </c>
      <c r="D908" t="s">
        <v>74</v>
      </c>
      <c r="E908" t="s">
        <v>74</v>
      </c>
      <c r="F908" t="s">
        <v>12870</v>
      </c>
      <c r="G908" t="s">
        <v>74</v>
      </c>
      <c r="H908" t="s">
        <v>74</v>
      </c>
      <c r="I908" t="s">
        <v>12871</v>
      </c>
      <c r="J908" t="s">
        <v>4901</v>
      </c>
      <c r="K908" t="s">
        <v>74</v>
      </c>
      <c r="L908" t="s">
        <v>74</v>
      </c>
      <c r="M908" t="s">
        <v>79</v>
      </c>
      <c r="N908" t="s">
        <v>126</v>
      </c>
      <c r="O908" t="s">
        <v>74</v>
      </c>
      <c r="P908" t="s">
        <v>74</v>
      </c>
      <c r="Q908" t="s">
        <v>74</v>
      </c>
      <c r="R908" t="s">
        <v>74</v>
      </c>
      <c r="S908" t="s">
        <v>74</v>
      </c>
      <c r="T908" t="s">
        <v>74</v>
      </c>
      <c r="U908" t="s">
        <v>12872</v>
      </c>
      <c r="V908" t="s">
        <v>12873</v>
      </c>
      <c r="W908" t="s">
        <v>12874</v>
      </c>
      <c r="X908" t="s">
        <v>12875</v>
      </c>
      <c r="Y908" t="s">
        <v>12876</v>
      </c>
      <c r="Z908" t="s">
        <v>12877</v>
      </c>
      <c r="AA908" t="s">
        <v>74</v>
      </c>
      <c r="AB908" t="s">
        <v>74</v>
      </c>
      <c r="AC908" t="s">
        <v>74</v>
      </c>
      <c r="AD908" t="s">
        <v>74</v>
      </c>
      <c r="AE908" t="s">
        <v>74</v>
      </c>
      <c r="AF908" t="s">
        <v>74</v>
      </c>
      <c r="AG908">
        <v>37</v>
      </c>
      <c r="AH908">
        <v>79</v>
      </c>
      <c r="AI908">
        <v>92</v>
      </c>
      <c r="AJ908">
        <v>3</v>
      </c>
      <c r="AK908">
        <v>19</v>
      </c>
      <c r="AL908" t="s">
        <v>4909</v>
      </c>
      <c r="AM908" t="s">
        <v>3345</v>
      </c>
      <c r="AN908" t="s">
        <v>4910</v>
      </c>
      <c r="AO908" t="s">
        <v>4911</v>
      </c>
      <c r="AP908" t="s">
        <v>4912</v>
      </c>
      <c r="AQ908" t="s">
        <v>74</v>
      </c>
      <c r="AR908" t="s">
        <v>4913</v>
      </c>
      <c r="AS908" t="s">
        <v>4914</v>
      </c>
      <c r="AT908" t="s">
        <v>11880</v>
      </c>
      <c r="AU908">
        <v>2004</v>
      </c>
      <c r="AV908">
        <v>70</v>
      </c>
      <c r="AW908">
        <v>5</v>
      </c>
      <c r="AX908" t="s">
        <v>74</v>
      </c>
      <c r="AY908" t="s">
        <v>74</v>
      </c>
      <c r="AZ908" t="s">
        <v>74</v>
      </c>
      <c r="BA908" t="s">
        <v>74</v>
      </c>
      <c r="BB908">
        <v>605</v>
      </c>
      <c r="BC908">
        <v>616</v>
      </c>
      <c r="BD908" t="s">
        <v>74</v>
      </c>
      <c r="BE908" t="s">
        <v>12878</v>
      </c>
      <c r="BF908" t="str">
        <f>HYPERLINK("http://dx.doi.org/10.14358/PERS.70.5.605","http://dx.doi.org/10.14358/PERS.70.5.605")</f>
        <v>http://dx.doi.org/10.14358/PERS.70.5.605</v>
      </c>
      <c r="BG908" t="s">
        <v>74</v>
      </c>
      <c r="BH908" t="s">
        <v>74</v>
      </c>
      <c r="BI908">
        <v>12</v>
      </c>
      <c r="BJ908" t="s">
        <v>4915</v>
      </c>
      <c r="BK908" t="s">
        <v>139</v>
      </c>
      <c r="BL908" t="s">
        <v>4916</v>
      </c>
      <c r="BM908" t="s">
        <v>12879</v>
      </c>
      <c r="BN908" t="s">
        <v>74</v>
      </c>
      <c r="BO908" t="s">
        <v>2236</v>
      </c>
      <c r="BP908" t="s">
        <v>74</v>
      </c>
      <c r="BQ908" t="s">
        <v>74</v>
      </c>
      <c r="BR908" t="s">
        <v>98</v>
      </c>
      <c r="BS908" t="s">
        <v>12880</v>
      </c>
      <c r="BT908" t="str">
        <f>HYPERLINK("https%3A%2F%2Fwww.webofscience.com%2Fwos%2Fwoscc%2Ffull-record%2FWOS:000221403500006","View Full Record in Web of Science")</f>
        <v>View Full Record in Web of Science</v>
      </c>
    </row>
    <row r="909" spans="1:72" x14ac:dyDescent="0.15">
      <c r="A909" t="s">
        <v>122</v>
      </c>
      <c r="B909" t="s">
        <v>12881</v>
      </c>
      <c r="C909" t="s">
        <v>74</v>
      </c>
      <c r="D909" t="s">
        <v>74</v>
      </c>
      <c r="E909" t="s">
        <v>74</v>
      </c>
      <c r="F909" t="s">
        <v>12881</v>
      </c>
      <c r="G909" t="s">
        <v>74</v>
      </c>
      <c r="H909" t="s">
        <v>74</v>
      </c>
      <c r="I909" t="s">
        <v>12882</v>
      </c>
      <c r="J909" t="s">
        <v>3632</v>
      </c>
      <c r="K909" t="s">
        <v>74</v>
      </c>
      <c r="L909" t="s">
        <v>74</v>
      </c>
      <c r="M909" t="s">
        <v>79</v>
      </c>
      <c r="N909" t="s">
        <v>126</v>
      </c>
      <c r="O909" t="s">
        <v>74</v>
      </c>
      <c r="P909" t="s">
        <v>74</v>
      </c>
      <c r="Q909" t="s">
        <v>74</v>
      </c>
      <c r="R909" t="s">
        <v>74</v>
      </c>
      <c r="S909" t="s">
        <v>74</v>
      </c>
      <c r="T909" t="s">
        <v>74</v>
      </c>
      <c r="U909" t="s">
        <v>12883</v>
      </c>
      <c r="V909" t="s">
        <v>12884</v>
      </c>
      <c r="W909" t="s">
        <v>12885</v>
      </c>
      <c r="X909" t="s">
        <v>12886</v>
      </c>
      <c r="Y909" t="s">
        <v>12887</v>
      </c>
      <c r="Z909" t="s">
        <v>12888</v>
      </c>
      <c r="AA909" t="s">
        <v>12889</v>
      </c>
      <c r="AB909" t="s">
        <v>12890</v>
      </c>
      <c r="AC909" t="s">
        <v>74</v>
      </c>
      <c r="AD909" t="s">
        <v>74</v>
      </c>
      <c r="AE909" t="s">
        <v>74</v>
      </c>
      <c r="AF909" t="s">
        <v>74</v>
      </c>
      <c r="AG909">
        <v>60</v>
      </c>
      <c r="AH909">
        <v>75</v>
      </c>
      <c r="AI909">
        <v>89</v>
      </c>
      <c r="AJ909">
        <v>0</v>
      </c>
      <c r="AK909">
        <v>17</v>
      </c>
      <c r="AL909" t="s">
        <v>6611</v>
      </c>
      <c r="AM909" t="s">
        <v>3641</v>
      </c>
      <c r="AN909" t="s">
        <v>6612</v>
      </c>
      <c r="AO909" t="s">
        <v>3643</v>
      </c>
      <c r="AP909" t="s">
        <v>74</v>
      </c>
      <c r="AQ909" t="s">
        <v>74</v>
      </c>
      <c r="AR909" t="s">
        <v>3632</v>
      </c>
      <c r="AS909" t="s">
        <v>3644</v>
      </c>
      <c r="AT909" t="s">
        <v>11880</v>
      </c>
      <c r="AU909">
        <v>2004</v>
      </c>
      <c r="AV909">
        <v>43</v>
      </c>
      <c r="AW909">
        <v>3</v>
      </c>
      <c r="AX909" t="s">
        <v>74</v>
      </c>
      <c r="AY909" t="s">
        <v>74</v>
      </c>
      <c r="AZ909" t="s">
        <v>74</v>
      </c>
      <c r="BA909" t="s">
        <v>74</v>
      </c>
      <c r="BB909">
        <v>225</v>
      </c>
      <c r="BC909">
        <v>235</v>
      </c>
      <c r="BD909" t="s">
        <v>74</v>
      </c>
      <c r="BE909" t="s">
        <v>12891</v>
      </c>
      <c r="BF909" t="str">
        <f>HYPERLINK("http://dx.doi.org/10.2216/i0031-8884-43-3-225.1","http://dx.doi.org/10.2216/i0031-8884-43-3-225.1")</f>
        <v>http://dx.doi.org/10.2216/i0031-8884-43-3-225.1</v>
      </c>
      <c r="BG909" t="s">
        <v>74</v>
      </c>
      <c r="BH909" t="s">
        <v>74</v>
      </c>
      <c r="BI909">
        <v>11</v>
      </c>
      <c r="BJ909" t="s">
        <v>1672</v>
      </c>
      <c r="BK909" t="s">
        <v>139</v>
      </c>
      <c r="BL909" t="s">
        <v>1672</v>
      </c>
      <c r="BM909" t="s">
        <v>12892</v>
      </c>
      <c r="BN909" t="s">
        <v>74</v>
      </c>
      <c r="BO909" t="s">
        <v>74</v>
      </c>
      <c r="BP909" t="s">
        <v>74</v>
      </c>
      <c r="BQ909" t="s">
        <v>74</v>
      </c>
      <c r="BR909" t="s">
        <v>98</v>
      </c>
      <c r="BS909" t="s">
        <v>12893</v>
      </c>
      <c r="BT909" t="str">
        <f>HYPERLINK("https%3A%2F%2Fwww.webofscience.com%2Fwos%2Fwoscc%2Ffull-record%2FWOS:000221785600001","View Full Record in Web of Science")</f>
        <v>View Full Record in Web of Science</v>
      </c>
    </row>
    <row r="910" spans="1:72" x14ac:dyDescent="0.15">
      <c r="A910" t="s">
        <v>122</v>
      </c>
      <c r="B910" t="s">
        <v>12894</v>
      </c>
      <c r="C910" t="s">
        <v>74</v>
      </c>
      <c r="D910" t="s">
        <v>74</v>
      </c>
      <c r="E910" t="s">
        <v>74</v>
      </c>
      <c r="F910" t="s">
        <v>12894</v>
      </c>
      <c r="G910" t="s">
        <v>74</v>
      </c>
      <c r="H910" t="s">
        <v>74</v>
      </c>
      <c r="I910" t="s">
        <v>12895</v>
      </c>
      <c r="J910" t="s">
        <v>1912</v>
      </c>
      <c r="K910" t="s">
        <v>74</v>
      </c>
      <c r="L910" t="s">
        <v>74</v>
      </c>
      <c r="M910" t="s">
        <v>79</v>
      </c>
      <c r="N910" t="s">
        <v>581</v>
      </c>
      <c r="O910" t="s">
        <v>74</v>
      </c>
      <c r="P910" t="s">
        <v>74</v>
      </c>
      <c r="Q910" t="s">
        <v>74</v>
      </c>
      <c r="R910" t="s">
        <v>74</v>
      </c>
      <c r="S910" t="s">
        <v>74</v>
      </c>
      <c r="T910" t="s">
        <v>74</v>
      </c>
      <c r="U910" t="s">
        <v>12896</v>
      </c>
      <c r="V910" t="s">
        <v>12897</v>
      </c>
      <c r="W910" t="s">
        <v>12898</v>
      </c>
      <c r="X910" t="s">
        <v>12899</v>
      </c>
      <c r="Y910" t="s">
        <v>12900</v>
      </c>
      <c r="Z910" t="s">
        <v>12901</v>
      </c>
      <c r="AA910" t="s">
        <v>12902</v>
      </c>
      <c r="AB910" t="s">
        <v>12903</v>
      </c>
      <c r="AC910" t="s">
        <v>74</v>
      </c>
      <c r="AD910" t="s">
        <v>74</v>
      </c>
      <c r="AE910" t="s">
        <v>74</v>
      </c>
      <c r="AF910" t="s">
        <v>74</v>
      </c>
      <c r="AG910">
        <v>179</v>
      </c>
      <c r="AH910">
        <v>153</v>
      </c>
      <c r="AI910">
        <v>171</v>
      </c>
      <c r="AJ910">
        <v>1</v>
      </c>
      <c r="AK910">
        <v>47</v>
      </c>
      <c r="AL910" t="s">
        <v>1509</v>
      </c>
      <c r="AM910" t="s">
        <v>613</v>
      </c>
      <c r="AN910" t="s">
        <v>1948</v>
      </c>
      <c r="AO910" t="s">
        <v>1921</v>
      </c>
      <c r="AP910" t="s">
        <v>1937</v>
      </c>
      <c r="AQ910" t="s">
        <v>74</v>
      </c>
      <c r="AR910" t="s">
        <v>1922</v>
      </c>
      <c r="AS910" t="s">
        <v>1923</v>
      </c>
      <c r="AT910" t="s">
        <v>11880</v>
      </c>
      <c r="AU910">
        <v>2004</v>
      </c>
      <c r="AV910">
        <v>27</v>
      </c>
      <c r="AW910">
        <v>6</v>
      </c>
      <c r="AX910" t="s">
        <v>74</v>
      </c>
      <c r="AY910" t="s">
        <v>74</v>
      </c>
      <c r="AZ910" t="s">
        <v>74</v>
      </c>
      <c r="BA910" t="s">
        <v>74</v>
      </c>
      <c r="BB910">
        <v>321</v>
      </c>
      <c r="BC910">
        <v>338</v>
      </c>
      <c r="BD910" t="s">
        <v>74</v>
      </c>
      <c r="BE910" t="s">
        <v>12904</v>
      </c>
      <c r="BF910" t="str">
        <f>HYPERLINK("http://dx.doi.org/10.1007/s00300-004-0599-z","http://dx.doi.org/10.1007/s00300-004-0599-z")</f>
        <v>http://dx.doi.org/10.1007/s00300-004-0599-z</v>
      </c>
      <c r="BG910" t="s">
        <v>74</v>
      </c>
      <c r="BH910" t="s">
        <v>74</v>
      </c>
      <c r="BI910">
        <v>18</v>
      </c>
      <c r="BJ910" t="s">
        <v>1491</v>
      </c>
      <c r="BK910" t="s">
        <v>139</v>
      </c>
      <c r="BL910" t="s">
        <v>1337</v>
      </c>
      <c r="BM910" t="s">
        <v>12905</v>
      </c>
      <c r="BN910" t="s">
        <v>74</v>
      </c>
      <c r="BO910" t="s">
        <v>74</v>
      </c>
      <c r="BP910" t="s">
        <v>74</v>
      </c>
      <c r="BQ910" t="s">
        <v>74</v>
      </c>
      <c r="BR910" t="s">
        <v>98</v>
      </c>
      <c r="BS910" t="s">
        <v>12906</v>
      </c>
      <c r="BT910" t="str">
        <f>HYPERLINK("https%3A%2F%2Fwww.webofscience.com%2Fwos%2Fwoscc%2Ffull-record%2FWOS:000221397200001","View Full Record in Web of Science")</f>
        <v>View Full Record in Web of Science</v>
      </c>
    </row>
    <row r="911" spans="1:72" x14ac:dyDescent="0.15">
      <c r="A911" t="s">
        <v>122</v>
      </c>
      <c r="B911" t="s">
        <v>12907</v>
      </c>
      <c r="C911" t="s">
        <v>74</v>
      </c>
      <c r="D911" t="s">
        <v>74</v>
      </c>
      <c r="E911" t="s">
        <v>74</v>
      </c>
      <c r="F911" t="s">
        <v>12907</v>
      </c>
      <c r="G911" t="s">
        <v>74</v>
      </c>
      <c r="H911" t="s">
        <v>74</v>
      </c>
      <c r="I911" t="s">
        <v>12908</v>
      </c>
      <c r="J911" t="s">
        <v>1912</v>
      </c>
      <c r="K911" t="s">
        <v>74</v>
      </c>
      <c r="L911" t="s">
        <v>74</v>
      </c>
      <c r="M911" t="s">
        <v>79</v>
      </c>
      <c r="N911" t="s">
        <v>126</v>
      </c>
      <c r="O911" t="s">
        <v>74</v>
      </c>
      <c r="P911" t="s">
        <v>74</v>
      </c>
      <c r="Q911" t="s">
        <v>74</v>
      </c>
      <c r="R911" t="s">
        <v>74</v>
      </c>
      <c r="S911" t="s">
        <v>74</v>
      </c>
      <c r="T911" t="s">
        <v>74</v>
      </c>
      <c r="U911" t="s">
        <v>12909</v>
      </c>
      <c r="V911" t="s">
        <v>12910</v>
      </c>
      <c r="W911" t="s">
        <v>12911</v>
      </c>
      <c r="X911" t="s">
        <v>9627</v>
      </c>
      <c r="Y911" t="s">
        <v>12912</v>
      </c>
      <c r="Z911" t="s">
        <v>12913</v>
      </c>
      <c r="AA911" t="s">
        <v>74</v>
      </c>
      <c r="AB911" t="s">
        <v>74</v>
      </c>
      <c r="AC911" t="s">
        <v>74</v>
      </c>
      <c r="AD911" t="s">
        <v>74</v>
      </c>
      <c r="AE911" t="s">
        <v>74</v>
      </c>
      <c r="AF911" t="s">
        <v>74</v>
      </c>
      <c r="AG911">
        <v>18</v>
      </c>
      <c r="AH911">
        <v>16</v>
      </c>
      <c r="AI911">
        <v>21</v>
      </c>
      <c r="AJ911">
        <v>0</v>
      </c>
      <c r="AK911">
        <v>10</v>
      </c>
      <c r="AL911" t="s">
        <v>11354</v>
      </c>
      <c r="AM911" t="s">
        <v>613</v>
      </c>
      <c r="AN911" t="s">
        <v>11355</v>
      </c>
      <c r="AO911" t="s">
        <v>1921</v>
      </c>
      <c r="AP911" t="s">
        <v>74</v>
      </c>
      <c r="AQ911" t="s">
        <v>74</v>
      </c>
      <c r="AR911" t="s">
        <v>1922</v>
      </c>
      <c r="AS911" t="s">
        <v>1923</v>
      </c>
      <c r="AT911" t="s">
        <v>11880</v>
      </c>
      <c r="AU911">
        <v>2004</v>
      </c>
      <c r="AV911">
        <v>27</v>
      </c>
      <c r="AW911">
        <v>6</v>
      </c>
      <c r="AX911" t="s">
        <v>74</v>
      </c>
      <c r="AY911" t="s">
        <v>74</v>
      </c>
      <c r="AZ911" t="s">
        <v>74</v>
      </c>
      <c r="BA911" t="s">
        <v>74</v>
      </c>
      <c r="BB911">
        <v>344</v>
      </c>
      <c r="BC911">
        <v>349</v>
      </c>
      <c r="BD911" t="s">
        <v>74</v>
      </c>
      <c r="BE911" t="s">
        <v>12914</v>
      </c>
      <c r="BF911" t="str">
        <f>HYPERLINK("http://dx.doi.org/10.1007/s00300-004-0597-1","http://dx.doi.org/10.1007/s00300-004-0597-1")</f>
        <v>http://dx.doi.org/10.1007/s00300-004-0597-1</v>
      </c>
      <c r="BG911" t="s">
        <v>74</v>
      </c>
      <c r="BH911" t="s">
        <v>74</v>
      </c>
      <c r="BI911">
        <v>6</v>
      </c>
      <c r="BJ911" t="s">
        <v>1491</v>
      </c>
      <c r="BK911" t="s">
        <v>139</v>
      </c>
      <c r="BL911" t="s">
        <v>1337</v>
      </c>
      <c r="BM911" t="s">
        <v>12905</v>
      </c>
      <c r="BN911" t="s">
        <v>74</v>
      </c>
      <c r="BO911" t="s">
        <v>74</v>
      </c>
      <c r="BP911" t="s">
        <v>74</v>
      </c>
      <c r="BQ911" t="s">
        <v>74</v>
      </c>
      <c r="BR911" t="s">
        <v>98</v>
      </c>
      <c r="BS911" t="s">
        <v>12915</v>
      </c>
      <c r="BT911" t="str">
        <f>HYPERLINK("https%3A%2F%2Fwww.webofscience.com%2Fwos%2Fwoscc%2Ffull-record%2FWOS:000221397200003","View Full Record in Web of Science")</f>
        <v>View Full Record in Web of Science</v>
      </c>
    </row>
    <row r="912" spans="1:72" x14ac:dyDescent="0.15">
      <c r="A912" t="s">
        <v>122</v>
      </c>
      <c r="B912" t="s">
        <v>12916</v>
      </c>
      <c r="C912" t="s">
        <v>74</v>
      </c>
      <c r="D912" t="s">
        <v>74</v>
      </c>
      <c r="E912" t="s">
        <v>74</v>
      </c>
      <c r="F912" t="s">
        <v>12916</v>
      </c>
      <c r="G912" t="s">
        <v>74</v>
      </c>
      <c r="H912" t="s">
        <v>74</v>
      </c>
      <c r="I912" t="s">
        <v>12917</v>
      </c>
      <c r="J912" t="s">
        <v>1912</v>
      </c>
      <c r="K912" t="s">
        <v>74</v>
      </c>
      <c r="L912" t="s">
        <v>74</v>
      </c>
      <c r="M912" t="s">
        <v>79</v>
      </c>
      <c r="N912" t="s">
        <v>126</v>
      </c>
      <c r="O912" t="s">
        <v>74</v>
      </c>
      <c r="P912" t="s">
        <v>74</v>
      </c>
      <c r="Q912" t="s">
        <v>74</v>
      </c>
      <c r="R912" t="s">
        <v>74</v>
      </c>
      <c r="S912" t="s">
        <v>74</v>
      </c>
      <c r="T912" t="s">
        <v>74</v>
      </c>
      <c r="U912" t="s">
        <v>12918</v>
      </c>
      <c r="V912" t="s">
        <v>12919</v>
      </c>
      <c r="W912" t="s">
        <v>12920</v>
      </c>
      <c r="X912" t="s">
        <v>12921</v>
      </c>
      <c r="Y912" t="s">
        <v>12922</v>
      </c>
      <c r="Z912" t="s">
        <v>4539</v>
      </c>
      <c r="AA912" t="s">
        <v>12923</v>
      </c>
      <c r="AB912" t="s">
        <v>12924</v>
      </c>
      <c r="AC912" t="s">
        <v>74</v>
      </c>
      <c r="AD912" t="s">
        <v>74</v>
      </c>
      <c r="AE912" t="s">
        <v>74</v>
      </c>
      <c r="AF912" t="s">
        <v>74</v>
      </c>
      <c r="AG912">
        <v>62</v>
      </c>
      <c r="AH912">
        <v>34</v>
      </c>
      <c r="AI912">
        <v>37</v>
      </c>
      <c r="AJ912">
        <v>0</v>
      </c>
      <c r="AK912">
        <v>18</v>
      </c>
      <c r="AL912" t="s">
        <v>1509</v>
      </c>
      <c r="AM912" t="s">
        <v>613</v>
      </c>
      <c r="AN912" t="s">
        <v>1948</v>
      </c>
      <c r="AO912" t="s">
        <v>1921</v>
      </c>
      <c r="AP912" t="s">
        <v>1937</v>
      </c>
      <c r="AQ912" t="s">
        <v>74</v>
      </c>
      <c r="AR912" t="s">
        <v>1922</v>
      </c>
      <c r="AS912" t="s">
        <v>1923</v>
      </c>
      <c r="AT912" t="s">
        <v>11880</v>
      </c>
      <c r="AU912">
        <v>2004</v>
      </c>
      <c r="AV912">
        <v>27</v>
      </c>
      <c r="AW912">
        <v>6</v>
      </c>
      <c r="AX912" t="s">
        <v>74</v>
      </c>
      <c r="AY912" t="s">
        <v>74</v>
      </c>
      <c r="AZ912" t="s">
        <v>74</v>
      </c>
      <c r="BA912" t="s">
        <v>74</v>
      </c>
      <c r="BB912">
        <v>357</v>
      </c>
      <c r="BC912">
        <v>367</v>
      </c>
      <c r="BD912" t="s">
        <v>74</v>
      </c>
      <c r="BE912" t="s">
        <v>12925</v>
      </c>
      <c r="BF912" t="str">
        <f>HYPERLINK("http://dx.doi.org/10.1007/s00300-003-0588-7","http://dx.doi.org/10.1007/s00300-003-0588-7")</f>
        <v>http://dx.doi.org/10.1007/s00300-003-0588-7</v>
      </c>
      <c r="BG912" t="s">
        <v>74</v>
      </c>
      <c r="BH912" t="s">
        <v>74</v>
      </c>
      <c r="BI912">
        <v>11</v>
      </c>
      <c r="BJ912" t="s">
        <v>1491</v>
      </c>
      <c r="BK912" t="s">
        <v>139</v>
      </c>
      <c r="BL912" t="s">
        <v>1337</v>
      </c>
      <c r="BM912" t="s">
        <v>12905</v>
      </c>
      <c r="BN912" t="s">
        <v>74</v>
      </c>
      <c r="BO912" t="s">
        <v>74</v>
      </c>
      <c r="BP912" t="s">
        <v>74</v>
      </c>
      <c r="BQ912" t="s">
        <v>74</v>
      </c>
      <c r="BR912" t="s">
        <v>98</v>
      </c>
      <c r="BS912" t="s">
        <v>12926</v>
      </c>
      <c r="BT912" t="str">
        <f>HYPERLINK("https%3A%2F%2Fwww.webofscience.com%2Fwos%2Fwoscc%2Ffull-record%2FWOS:000221397200005","View Full Record in Web of Science")</f>
        <v>View Full Record in Web of Science</v>
      </c>
    </row>
    <row r="913" spans="1:72" x14ac:dyDescent="0.15">
      <c r="A913" t="s">
        <v>122</v>
      </c>
      <c r="B913" t="s">
        <v>12927</v>
      </c>
      <c r="C913" t="s">
        <v>74</v>
      </c>
      <c r="D913" t="s">
        <v>74</v>
      </c>
      <c r="E913" t="s">
        <v>74</v>
      </c>
      <c r="F913" t="s">
        <v>12927</v>
      </c>
      <c r="G913" t="s">
        <v>74</v>
      </c>
      <c r="H913" t="s">
        <v>74</v>
      </c>
      <c r="I913" t="s">
        <v>12928</v>
      </c>
      <c r="J913" t="s">
        <v>1912</v>
      </c>
      <c r="K913" t="s">
        <v>74</v>
      </c>
      <c r="L913" t="s">
        <v>74</v>
      </c>
      <c r="M913" t="s">
        <v>79</v>
      </c>
      <c r="N913" t="s">
        <v>126</v>
      </c>
      <c r="O913" t="s">
        <v>74</v>
      </c>
      <c r="P913" t="s">
        <v>74</v>
      </c>
      <c r="Q913" t="s">
        <v>74</v>
      </c>
      <c r="R913" t="s">
        <v>74</v>
      </c>
      <c r="S913" t="s">
        <v>74</v>
      </c>
      <c r="T913" t="s">
        <v>74</v>
      </c>
      <c r="U913" t="s">
        <v>12929</v>
      </c>
      <c r="V913" t="s">
        <v>12930</v>
      </c>
      <c r="W913" t="s">
        <v>12931</v>
      </c>
      <c r="X913" t="s">
        <v>12932</v>
      </c>
      <c r="Y913" t="s">
        <v>12933</v>
      </c>
      <c r="Z913" t="s">
        <v>12934</v>
      </c>
      <c r="AA913" t="s">
        <v>74</v>
      </c>
      <c r="AB913" t="s">
        <v>12935</v>
      </c>
      <c r="AC913" t="s">
        <v>74</v>
      </c>
      <c r="AD913" t="s">
        <v>74</v>
      </c>
      <c r="AE913" t="s">
        <v>74</v>
      </c>
      <c r="AF913" t="s">
        <v>74</v>
      </c>
      <c r="AG913">
        <v>23</v>
      </c>
      <c r="AH913">
        <v>52</v>
      </c>
      <c r="AI913">
        <v>59</v>
      </c>
      <c r="AJ913">
        <v>0</v>
      </c>
      <c r="AK913">
        <v>38</v>
      </c>
      <c r="AL913" t="s">
        <v>1509</v>
      </c>
      <c r="AM913" t="s">
        <v>613</v>
      </c>
      <c r="AN913" t="s">
        <v>1948</v>
      </c>
      <c r="AO913" t="s">
        <v>1921</v>
      </c>
      <c r="AP913" t="s">
        <v>1937</v>
      </c>
      <c r="AQ913" t="s">
        <v>74</v>
      </c>
      <c r="AR913" t="s">
        <v>1922</v>
      </c>
      <c r="AS913" t="s">
        <v>1923</v>
      </c>
      <c r="AT913" t="s">
        <v>11880</v>
      </c>
      <c r="AU913">
        <v>2004</v>
      </c>
      <c r="AV913">
        <v>27</v>
      </c>
      <c r="AW913">
        <v>6</v>
      </c>
      <c r="AX913" t="s">
        <v>74</v>
      </c>
      <c r="AY913" t="s">
        <v>74</v>
      </c>
      <c r="AZ913" t="s">
        <v>74</v>
      </c>
      <c r="BA913" t="s">
        <v>74</v>
      </c>
      <c r="BB913">
        <v>368</v>
      </c>
      <c r="BC913">
        <v>373</v>
      </c>
      <c r="BD913" t="s">
        <v>74</v>
      </c>
      <c r="BE913" t="s">
        <v>12936</v>
      </c>
      <c r="BF913" t="str">
        <f>HYPERLINK("http://dx.doi.org/10.1007/s00300-004-0598-0","http://dx.doi.org/10.1007/s00300-004-0598-0")</f>
        <v>http://dx.doi.org/10.1007/s00300-004-0598-0</v>
      </c>
      <c r="BG913" t="s">
        <v>74</v>
      </c>
      <c r="BH913" t="s">
        <v>74</v>
      </c>
      <c r="BI913">
        <v>6</v>
      </c>
      <c r="BJ913" t="s">
        <v>1491</v>
      </c>
      <c r="BK913" t="s">
        <v>139</v>
      </c>
      <c r="BL913" t="s">
        <v>1337</v>
      </c>
      <c r="BM913" t="s">
        <v>12905</v>
      </c>
      <c r="BN913" t="s">
        <v>74</v>
      </c>
      <c r="BO913" t="s">
        <v>74</v>
      </c>
      <c r="BP913" t="s">
        <v>74</v>
      </c>
      <c r="BQ913" t="s">
        <v>74</v>
      </c>
      <c r="BR913" t="s">
        <v>98</v>
      </c>
      <c r="BS913" t="s">
        <v>12937</v>
      </c>
      <c r="BT913" t="str">
        <f>HYPERLINK("https%3A%2F%2Fwww.webofscience.com%2Fwos%2Fwoscc%2Ffull-record%2FWOS:000221397200006","View Full Record in Web of Science")</f>
        <v>View Full Record in Web of Science</v>
      </c>
    </row>
    <row r="914" spans="1:72" x14ac:dyDescent="0.15">
      <c r="A914" t="s">
        <v>122</v>
      </c>
      <c r="B914" t="s">
        <v>12938</v>
      </c>
      <c r="C914" t="s">
        <v>74</v>
      </c>
      <c r="D914" t="s">
        <v>74</v>
      </c>
      <c r="E914" t="s">
        <v>74</v>
      </c>
      <c r="F914" t="s">
        <v>12938</v>
      </c>
      <c r="G914" t="s">
        <v>74</v>
      </c>
      <c r="H914" t="s">
        <v>74</v>
      </c>
      <c r="I914" t="s">
        <v>12939</v>
      </c>
      <c r="J914" t="s">
        <v>1912</v>
      </c>
      <c r="K914" t="s">
        <v>74</v>
      </c>
      <c r="L914" t="s">
        <v>74</v>
      </c>
      <c r="M914" t="s">
        <v>79</v>
      </c>
      <c r="N914" t="s">
        <v>126</v>
      </c>
      <c r="O914" t="s">
        <v>74</v>
      </c>
      <c r="P914" t="s">
        <v>74</v>
      </c>
      <c r="Q914" t="s">
        <v>74</v>
      </c>
      <c r="R914" t="s">
        <v>74</v>
      </c>
      <c r="S914" t="s">
        <v>74</v>
      </c>
      <c r="T914" t="s">
        <v>74</v>
      </c>
      <c r="U914" t="s">
        <v>12940</v>
      </c>
      <c r="V914" t="s">
        <v>12941</v>
      </c>
      <c r="W914" t="s">
        <v>12942</v>
      </c>
      <c r="X914" t="s">
        <v>12943</v>
      </c>
      <c r="Y914" t="s">
        <v>12944</v>
      </c>
      <c r="Z914" t="s">
        <v>12945</v>
      </c>
      <c r="AA914" t="s">
        <v>12946</v>
      </c>
      <c r="AB914" t="s">
        <v>12947</v>
      </c>
      <c r="AC914" t="s">
        <v>74</v>
      </c>
      <c r="AD914" t="s">
        <v>74</v>
      </c>
      <c r="AE914" t="s">
        <v>74</v>
      </c>
      <c r="AF914" t="s">
        <v>74</v>
      </c>
      <c r="AG914">
        <v>18</v>
      </c>
      <c r="AH914">
        <v>1</v>
      </c>
      <c r="AI914">
        <v>1</v>
      </c>
      <c r="AJ914">
        <v>0</v>
      </c>
      <c r="AK914">
        <v>2</v>
      </c>
      <c r="AL914" t="s">
        <v>1509</v>
      </c>
      <c r="AM914" t="s">
        <v>613</v>
      </c>
      <c r="AN914" t="s">
        <v>1948</v>
      </c>
      <c r="AO914" t="s">
        <v>1921</v>
      </c>
      <c r="AP914" t="s">
        <v>1937</v>
      </c>
      <c r="AQ914" t="s">
        <v>74</v>
      </c>
      <c r="AR914" t="s">
        <v>1922</v>
      </c>
      <c r="AS914" t="s">
        <v>1923</v>
      </c>
      <c r="AT914" t="s">
        <v>11880</v>
      </c>
      <c r="AU914">
        <v>2004</v>
      </c>
      <c r="AV914">
        <v>27</v>
      </c>
      <c r="AW914">
        <v>6</v>
      </c>
      <c r="AX914" t="s">
        <v>74</v>
      </c>
      <c r="AY914" t="s">
        <v>74</v>
      </c>
      <c r="AZ914" t="s">
        <v>74</v>
      </c>
      <c r="BA914" t="s">
        <v>74</v>
      </c>
      <c r="BB914">
        <v>380</v>
      </c>
      <c r="BC914">
        <v>382</v>
      </c>
      <c r="BD914" t="s">
        <v>74</v>
      </c>
      <c r="BE914" t="s">
        <v>12948</v>
      </c>
      <c r="BF914" t="str">
        <f>HYPERLINK("http://dx.doi.org/10.1007/s00300-004-0605-5","http://dx.doi.org/10.1007/s00300-004-0605-5")</f>
        <v>http://dx.doi.org/10.1007/s00300-004-0605-5</v>
      </c>
      <c r="BG914" t="s">
        <v>74</v>
      </c>
      <c r="BH914" t="s">
        <v>74</v>
      </c>
      <c r="BI914">
        <v>3</v>
      </c>
      <c r="BJ914" t="s">
        <v>1491</v>
      </c>
      <c r="BK914" t="s">
        <v>139</v>
      </c>
      <c r="BL914" t="s">
        <v>1337</v>
      </c>
      <c r="BM914" t="s">
        <v>12905</v>
      </c>
      <c r="BN914" t="s">
        <v>74</v>
      </c>
      <c r="BO914" t="s">
        <v>74</v>
      </c>
      <c r="BP914" t="s">
        <v>74</v>
      </c>
      <c r="BQ914" t="s">
        <v>74</v>
      </c>
      <c r="BR914" t="s">
        <v>98</v>
      </c>
      <c r="BS914" t="s">
        <v>12949</v>
      </c>
      <c r="BT914" t="str">
        <f>HYPERLINK("https%3A%2F%2Fwww.webofscience.com%2Fwos%2Fwoscc%2Ffull-record%2FWOS:000221397200008","View Full Record in Web of Science")</f>
        <v>View Full Record in Web of Science</v>
      </c>
    </row>
    <row r="915" spans="1:72" x14ac:dyDescent="0.15">
      <c r="A915" t="s">
        <v>122</v>
      </c>
      <c r="B915" t="s">
        <v>12950</v>
      </c>
      <c r="C915" t="s">
        <v>74</v>
      </c>
      <c r="D915" t="s">
        <v>74</v>
      </c>
      <c r="E915" t="s">
        <v>74</v>
      </c>
      <c r="F915" t="s">
        <v>12950</v>
      </c>
      <c r="G915" t="s">
        <v>74</v>
      </c>
      <c r="H915" t="s">
        <v>74</v>
      </c>
      <c r="I915" t="s">
        <v>12951</v>
      </c>
      <c r="J915" t="s">
        <v>12952</v>
      </c>
      <c r="K915" t="s">
        <v>74</v>
      </c>
      <c r="L915" t="s">
        <v>74</v>
      </c>
      <c r="M915" t="s">
        <v>79</v>
      </c>
      <c r="N915" t="s">
        <v>126</v>
      </c>
      <c r="O915" t="s">
        <v>74</v>
      </c>
      <c r="P915" t="s">
        <v>74</v>
      </c>
      <c r="Q915" t="s">
        <v>74</v>
      </c>
      <c r="R915" t="s">
        <v>74</v>
      </c>
      <c r="S915" t="s">
        <v>74</v>
      </c>
      <c r="T915" t="s">
        <v>74</v>
      </c>
      <c r="U915" t="s">
        <v>12953</v>
      </c>
      <c r="V915" t="s">
        <v>12954</v>
      </c>
      <c r="W915" t="s">
        <v>12955</v>
      </c>
      <c r="X915" t="s">
        <v>12956</v>
      </c>
      <c r="Y915" t="s">
        <v>12957</v>
      </c>
      <c r="Z915" t="s">
        <v>12958</v>
      </c>
      <c r="AA915" t="s">
        <v>12959</v>
      </c>
      <c r="AB915" t="s">
        <v>12960</v>
      </c>
      <c r="AC915" t="s">
        <v>74</v>
      </c>
      <c r="AD915" t="s">
        <v>74</v>
      </c>
      <c r="AE915" t="s">
        <v>74</v>
      </c>
      <c r="AF915" t="s">
        <v>74</v>
      </c>
      <c r="AG915">
        <v>37</v>
      </c>
      <c r="AH915">
        <v>17</v>
      </c>
      <c r="AI915">
        <v>23</v>
      </c>
      <c r="AJ915">
        <v>0</v>
      </c>
      <c r="AK915">
        <v>0</v>
      </c>
      <c r="AL915" t="s">
        <v>1166</v>
      </c>
      <c r="AM915" t="s">
        <v>1167</v>
      </c>
      <c r="AN915" t="s">
        <v>1168</v>
      </c>
      <c r="AO915" t="s">
        <v>12961</v>
      </c>
      <c r="AP915" t="s">
        <v>12962</v>
      </c>
      <c r="AQ915" t="s">
        <v>74</v>
      </c>
      <c r="AR915" t="s">
        <v>12963</v>
      </c>
      <c r="AS915" t="s">
        <v>12964</v>
      </c>
      <c r="AT915" t="s">
        <v>11880</v>
      </c>
      <c r="AU915">
        <v>2004</v>
      </c>
      <c r="AV915">
        <v>116</v>
      </c>
      <c r="AW915">
        <v>819</v>
      </c>
      <c r="AX915" t="s">
        <v>74</v>
      </c>
      <c r="AY915" t="s">
        <v>74</v>
      </c>
      <c r="AZ915" t="s">
        <v>74</v>
      </c>
      <c r="BA915" t="s">
        <v>74</v>
      </c>
      <c r="BB915">
        <v>415</v>
      </c>
      <c r="BC915">
        <v>424</v>
      </c>
      <c r="BD915" t="s">
        <v>74</v>
      </c>
      <c r="BE915" t="s">
        <v>12965</v>
      </c>
      <c r="BF915" t="str">
        <f>HYPERLINK("http://dx.doi.org/10.1086/383623","http://dx.doi.org/10.1086/383623")</f>
        <v>http://dx.doi.org/10.1086/383623</v>
      </c>
      <c r="BG915" t="s">
        <v>74</v>
      </c>
      <c r="BH915" t="s">
        <v>74</v>
      </c>
      <c r="BI915">
        <v>10</v>
      </c>
      <c r="BJ915" t="s">
        <v>491</v>
      </c>
      <c r="BK915" t="s">
        <v>139</v>
      </c>
      <c r="BL915" t="s">
        <v>491</v>
      </c>
      <c r="BM915" t="s">
        <v>12966</v>
      </c>
      <c r="BN915" t="s">
        <v>74</v>
      </c>
      <c r="BO915" t="s">
        <v>273</v>
      </c>
      <c r="BP915" t="s">
        <v>74</v>
      </c>
      <c r="BQ915" t="s">
        <v>74</v>
      </c>
      <c r="BR915" t="s">
        <v>98</v>
      </c>
      <c r="BS915" t="s">
        <v>12967</v>
      </c>
      <c r="BT915" t="str">
        <f>HYPERLINK("https%3A%2F%2Fwww.webofscience.com%2Fwos%2Fwoscc%2Ffull-record%2FWOS:000221067500004","View Full Record in Web of Science")</f>
        <v>View Full Record in Web of Science</v>
      </c>
    </row>
    <row r="916" spans="1:72" x14ac:dyDescent="0.15">
      <c r="A916" t="s">
        <v>122</v>
      </c>
      <c r="B916" t="s">
        <v>12968</v>
      </c>
      <c r="C916" t="s">
        <v>74</v>
      </c>
      <c r="D916" t="s">
        <v>74</v>
      </c>
      <c r="E916" t="s">
        <v>74</v>
      </c>
      <c r="F916" t="s">
        <v>12968</v>
      </c>
      <c r="G916" t="s">
        <v>74</v>
      </c>
      <c r="H916" t="s">
        <v>74</v>
      </c>
      <c r="I916" t="s">
        <v>12969</v>
      </c>
      <c r="J916" t="s">
        <v>12952</v>
      </c>
      <c r="K916" t="s">
        <v>74</v>
      </c>
      <c r="L916" t="s">
        <v>74</v>
      </c>
      <c r="M916" t="s">
        <v>79</v>
      </c>
      <c r="N916" t="s">
        <v>126</v>
      </c>
      <c r="O916" t="s">
        <v>74</v>
      </c>
      <c r="P916" t="s">
        <v>74</v>
      </c>
      <c r="Q916" t="s">
        <v>74</v>
      </c>
      <c r="R916" t="s">
        <v>74</v>
      </c>
      <c r="S916" t="s">
        <v>74</v>
      </c>
      <c r="T916" t="s">
        <v>74</v>
      </c>
      <c r="U916" t="s">
        <v>12970</v>
      </c>
      <c r="V916" t="s">
        <v>12971</v>
      </c>
      <c r="W916" t="s">
        <v>12972</v>
      </c>
      <c r="X916" t="s">
        <v>1681</v>
      </c>
      <c r="Y916" t="s">
        <v>5378</v>
      </c>
      <c r="Z916" t="s">
        <v>12973</v>
      </c>
      <c r="AA916" t="s">
        <v>74</v>
      </c>
      <c r="AB916" t="s">
        <v>12974</v>
      </c>
      <c r="AC916" t="s">
        <v>74</v>
      </c>
      <c r="AD916" t="s">
        <v>74</v>
      </c>
      <c r="AE916" t="s">
        <v>74</v>
      </c>
      <c r="AF916" t="s">
        <v>74</v>
      </c>
      <c r="AG916">
        <v>32</v>
      </c>
      <c r="AH916">
        <v>70</v>
      </c>
      <c r="AI916">
        <v>71</v>
      </c>
      <c r="AJ916">
        <v>0</v>
      </c>
      <c r="AK916">
        <v>3</v>
      </c>
      <c r="AL916" t="s">
        <v>1166</v>
      </c>
      <c r="AM916" t="s">
        <v>1167</v>
      </c>
      <c r="AN916" t="s">
        <v>1168</v>
      </c>
      <c r="AO916" t="s">
        <v>12961</v>
      </c>
      <c r="AP916" t="s">
        <v>12962</v>
      </c>
      <c r="AQ916" t="s">
        <v>74</v>
      </c>
      <c r="AR916" t="s">
        <v>12963</v>
      </c>
      <c r="AS916" t="s">
        <v>12964</v>
      </c>
      <c r="AT916" t="s">
        <v>11880</v>
      </c>
      <c r="AU916">
        <v>2004</v>
      </c>
      <c r="AV916">
        <v>116</v>
      </c>
      <c r="AW916">
        <v>819</v>
      </c>
      <c r="AX916" t="s">
        <v>74</v>
      </c>
      <c r="AY916" t="s">
        <v>74</v>
      </c>
      <c r="AZ916" t="s">
        <v>74</v>
      </c>
      <c r="BA916" t="s">
        <v>74</v>
      </c>
      <c r="BB916">
        <v>482</v>
      </c>
      <c r="BC916">
        <v>492</v>
      </c>
      <c r="BD916" t="s">
        <v>74</v>
      </c>
      <c r="BE916" t="s">
        <v>12975</v>
      </c>
      <c r="BF916" t="str">
        <f>HYPERLINK("http://dx.doi.org/10.1086/420757","http://dx.doi.org/10.1086/420757")</f>
        <v>http://dx.doi.org/10.1086/420757</v>
      </c>
      <c r="BG916" t="s">
        <v>74</v>
      </c>
      <c r="BH916" t="s">
        <v>74</v>
      </c>
      <c r="BI916">
        <v>11</v>
      </c>
      <c r="BJ916" t="s">
        <v>491</v>
      </c>
      <c r="BK916" t="s">
        <v>139</v>
      </c>
      <c r="BL916" t="s">
        <v>491</v>
      </c>
      <c r="BM916" t="s">
        <v>12966</v>
      </c>
      <c r="BN916" t="s">
        <v>74</v>
      </c>
      <c r="BO916" t="s">
        <v>273</v>
      </c>
      <c r="BP916" t="s">
        <v>74</v>
      </c>
      <c r="BQ916" t="s">
        <v>74</v>
      </c>
      <c r="BR916" t="s">
        <v>98</v>
      </c>
      <c r="BS916" t="s">
        <v>12976</v>
      </c>
      <c r="BT916" t="str">
        <f>HYPERLINK("https%3A%2F%2Fwww.webofscience.com%2Fwos%2Fwoscc%2Ffull-record%2FWOS:000221067500010","View Full Record in Web of Science")</f>
        <v>View Full Record in Web of Science</v>
      </c>
    </row>
    <row r="917" spans="1:72" x14ac:dyDescent="0.15">
      <c r="A917" t="s">
        <v>122</v>
      </c>
      <c r="B917" t="s">
        <v>12977</v>
      </c>
      <c r="C917" t="s">
        <v>74</v>
      </c>
      <c r="D917" t="s">
        <v>74</v>
      </c>
      <c r="E917" t="s">
        <v>74</v>
      </c>
      <c r="F917" t="s">
        <v>12977</v>
      </c>
      <c r="G917" t="s">
        <v>74</v>
      </c>
      <c r="H917" t="s">
        <v>74</v>
      </c>
      <c r="I917" t="s">
        <v>12978</v>
      </c>
      <c r="J917" t="s">
        <v>3750</v>
      </c>
      <c r="K917" t="s">
        <v>74</v>
      </c>
      <c r="L917" t="s">
        <v>74</v>
      </c>
      <c r="M917" t="s">
        <v>79</v>
      </c>
      <c r="N917" t="s">
        <v>126</v>
      </c>
      <c r="O917" t="s">
        <v>74</v>
      </c>
      <c r="P917" t="s">
        <v>74</v>
      </c>
      <c r="Q917" t="s">
        <v>74</v>
      </c>
      <c r="R917" t="s">
        <v>74</v>
      </c>
      <c r="S917" t="s">
        <v>74</v>
      </c>
      <c r="T917" t="s">
        <v>12979</v>
      </c>
      <c r="U917" t="s">
        <v>12980</v>
      </c>
      <c r="V917" t="s">
        <v>12981</v>
      </c>
      <c r="W917" t="s">
        <v>12982</v>
      </c>
      <c r="X917" t="s">
        <v>12983</v>
      </c>
      <c r="Y917" t="s">
        <v>12984</v>
      </c>
      <c r="Z917" t="s">
        <v>12985</v>
      </c>
      <c r="AA917" t="s">
        <v>74</v>
      </c>
      <c r="AB917" t="s">
        <v>12986</v>
      </c>
      <c r="AC917" t="s">
        <v>74</v>
      </c>
      <c r="AD917" t="s">
        <v>74</v>
      </c>
      <c r="AE917" t="s">
        <v>74</v>
      </c>
      <c r="AF917" t="s">
        <v>74</v>
      </c>
      <c r="AG917">
        <v>56</v>
      </c>
      <c r="AH917">
        <v>15</v>
      </c>
      <c r="AI917">
        <v>17</v>
      </c>
      <c r="AJ917">
        <v>0</v>
      </c>
      <c r="AK917">
        <v>2</v>
      </c>
      <c r="AL917" t="s">
        <v>919</v>
      </c>
      <c r="AM917" t="s">
        <v>613</v>
      </c>
      <c r="AN917" t="s">
        <v>937</v>
      </c>
      <c r="AO917" t="s">
        <v>3763</v>
      </c>
      <c r="AP917" t="s">
        <v>12987</v>
      </c>
      <c r="AQ917" t="s">
        <v>74</v>
      </c>
      <c r="AR917" t="s">
        <v>3764</v>
      </c>
      <c r="AS917" t="s">
        <v>3765</v>
      </c>
      <c r="AT917" t="s">
        <v>11880</v>
      </c>
      <c r="AU917">
        <v>2004</v>
      </c>
      <c r="AV917">
        <v>61</v>
      </c>
      <c r="AW917">
        <v>3</v>
      </c>
      <c r="AX917" t="s">
        <v>74</v>
      </c>
      <c r="AY917" t="s">
        <v>74</v>
      </c>
      <c r="AZ917" t="s">
        <v>74</v>
      </c>
      <c r="BA917" t="s">
        <v>74</v>
      </c>
      <c r="BB917">
        <v>318</v>
      </c>
      <c r="BC917">
        <v>324</v>
      </c>
      <c r="BD917" t="s">
        <v>74</v>
      </c>
      <c r="BE917" t="s">
        <v>12988</v>
      </c>
      <c r="BF917" t="str">
        <f>HYPERLINK("http://dx.doi.org/10.1016/j.yqres.2004.02.005","http://dx.doi.org/10.1016/j.yqres.2004.02.005")</f>
        <v>http://dx.doi.org/10.1016/j.yqres.2004.02.005</v>
      </c>
      <c r="BG917" t="s">
        <v>74</v>
      </c>
      <c r="BH917" t="s">
        <v>74</v>
      </c>
      <c r="BI917">
        <v>7</v>
      </c>
      <c r="BJ917" t="s">
        <v>3767</v>
      </c>
      <c r="BK917" t="s">
        <v>139</v>
      </c>
      <c r="BL917" t="s">
        <v>3768</v>
      </c>
      <c r="BM917" t="s">
        <v>12989</v>
      </c>
      <c r="BN917" t="s">
        <v>74</v>
      </c>
      <c r="BO917" t="s">
        <v>74</v>
      </c>
      <c r="BP917" t="s">
        <v>74</v>
      </c>
      <c r="BQ917" t="s">
        <v>74</v>
      </c>
      <c r="BR917" t="s">
        <v>98</v>
      </c>
      <c r="BS917" t="s">
        <v>12990</v>
      </c>
      <c r="BT917" t="str">
        <f>HYPERLINK("https%3A%2F%2Fwww.webofscience.com%2Fwos%2Fwoscc%2Ffull-record%2FWOS:000221585600008","View Full Record in Web of Science")</f>
        <v>View Full Record in Web of Science</v>
      </c>
    </row>
    <row r="918" spans="1:72" x14ac:dyDescent="0.15">
      <c r="A918" t="s">
        <v>122</v>
      </c>
      <c r="B918" t="s">
        <v>12991</v>
      </c>
      <c r="C918" t="s">
        <v>74</v>
      </c>
      <c r="D918" t="s">
        <v>74</v>
      </c>
      <c r="E918" t="s">
        <v>74</v>
      </c>
      <c r="F918" t="s">
        <v>12991</v>
      </c>
      <c r="G918" t="s">
        <v>74</v>
      </c>
      <c r="H918" t="s">
        <v>74</v>
      </c>
      <c r="I918" t="s">
        <v>12992</v>
      </c>
      <c r="J918" t="s">
        <v>5038</v>
      </c>
      <c r="K918" t="s">
        <v>74</v>
      </c>
      <c r="L918" t="s">
        <v>74</v>
      </c>
      <c r="M918" t="s">
        <v>79</v>
      </c>
      <c r="N918" t="s">
        <v>126</v>
      </c>
      <c r="O918" t="s">
        <v>74</v>
      </c>
      <c r="P918" t="s">
        <v>74</v>
      </c>
      <c r="Q918" t="s">
        <v>74</v>
      </c>
      <c r="R918" t="s">
        <v>74</v>
      </c>
      <c r="S918" t="s">
        <v>74</v>
      </c>
      <c r="T918" t="s">
        <v>74</v>
      </c>
      <c r="U918" t="s">
        <v>12993</v>
      </c>
      <c r="V918" t="s">
        <v>12994</v>
      </c>
      <c r="W918" t="s">
        <v>12995</v>
      </c>
      <c r="X918" t="s">
        <v>12996</v>
      </c>
      <c r="Y918" t="s">
        <v>12997</v>
      </c>
      <c r="Z918" t="s">
        <v>10783</v>
      </c>
      <c r="AA918" t="s">
        <v>12998</v>
      </c>
      <c r="AB918" t="s">
        <v>4171</v>
      </c>
      <c r="AC918" t="s">
        <v>74</v>
      </c>
      <c r="AD918" t="s">
        <v>74</v>
      </c>
      <c r="AE918" t="s">
        <v>74</v>
      </c>
      <c r="AF918" t="s">
        <v>74</v>
      </c>
      <c r="AG918">
        <v>36</v>
      </c>
      <c r="AH918">
        <v>7</v>
      </c>
      <c r="AI918">
        <v>10</v>
      </c>
      <c r="AJ918">
        <v>0</v>
      </c>
      <c r="AK918">
        <v>3</v>
      </c>
      <c r="AL918" t="s">
        <v>1273</v>
      </c>
      <c r="AM918" t="s">
        <v>197</v>
      </c>
      <c r="AN918" t="s">
        <v>1274</v>
      </c>
      <c r="AO918" t="s">
        <v>5047</v>
      </c>
      <c r="AP918" t="s">
        <v>74</v>
      </c>
      <c r="AQ918" t="s">
        <v>74</v>
      </c>
      <c r="AR918" t="s">
        <v>5048</v>
      </c>
      <c r="AS918" t="s">
        <v>5049</v>
      </c>
      <c r="AT918" t="s">
        <v>11880</v>
      </c>
      <c r="AU918">
        <v>2004</v>
      </c>
      <c r="AV918">
        <v>23</v>
      </c>
      <c r="AW918" t="s">
        <v>3506</v>
      </c>
      <c r="AX918" t="s">
        <v>74</v>
      </c>
      <c r="AY918" t="s">
        <v>74</v>
      </c>
      <c r="AZ918" t="s">
        <v>74</v>
      </c>
      <c r="BA918" t="s">
        <v>74</v>
      </c>
      <c r="BB918">
        <v>1041</v>
      </c>
      <c r="BC918">
        <v>1051</v>
      </c>
      <c r="BD918" t="s">
        <v>74</v>
      </c>
      <c r="BE918" t="s">
        <v>12999</v>
      </c>
      <c r="BF918" t="str">
        <f>HYPERLINK("http://dx.doi.org/10.1016/j.quascirev.2003.12.003","http://dx.doi.org/10.1016/j.quascirev.2003.12.003")</f>
        <v>http://dx.doi.org/10.1016/j.quascirev.2003.12.003</v>
      </c>
      <c r="BG918" t="s">
        <v>74</v>
      </c>
      <c r="BH918" t="s">
        <v>74</v>
      </c>
      <c r="BI918">
        <v>11</v>
      </c>
      <c r="BJ918" t="s">
        <v>3767</v>
      </c>
      <c r="BK918" t="s">
        <v>139</v>
      </c>
      <c r="BL918" t="s">
        <v>3768</v>
      </c>
      <c r="BM918" t="s">
        <v>13000</v>
      </c>
      <c r="BN918" t="s">
        <v>74</v>
      </c>
      <c r="BO918" t="s">
        <v>74</v>
      </c>
      <c r="BP918" t="s">
        <v>74</v>
      </c>
      <c r="BQ918" t="s">
        <v>74</v>
      </c>
      <c r="BR918" t="s">
        <v>98</v>
      </c>
      <c r="BS918" t="s">
        <v>13001</v>
      </c>
      <c r="BT918" t="str">
        <f>HYPERLINK("https%3A%2F%2Fwww.webofscience.com%2Fwos%2Fwoscc%2Ffull-record%2FWOS:000221580200005","View Full Record in Web of Science")</f>
        <v>View Full Record in Web of Science</v>
      </c>
    </row>
    <row r="919" spans="1:72" x14ac:dyDescent="0.15">
      <c r="A919" t="s">
        <v>122</v>
      </c>
      <c r="B919" t="s">
        <v>13002</v>
      </c>
      <c r="C919" t="s">
        <v>74</v>
      </c>
      <c r="D919" t="s">
        <v>74</v>
      </c>
      <c r="E919" t="s">
        <v>74</v>
      </c>
      <c r="F919" t="s">
        <v>13002</v>
      </c>
      <c r="G919" t="s">
        <v>74</v>
      </c>
      <c r="H919" t="s">
        <v>74</v>
      </c>
      <c r="I919" t="s">
        <v>13003</v>
      </c>
      <c r="J919" t="s">
        <v>9736</v>
      </c>
      <c r="K919" t="s">
        <v>74</v>
      </c>
      <c r="L919" t="s">
        <v>74</v>
      </c>
      <c r="M919" t="s">
        <v>79</v>
      </c>
      <c r="N919" t="s">
        <v>126</v>
      </c>
      <c r="O919" t="s">
        <v>74</v>
      </c>
      <c r="P919" t="s">
        <v>74</v>
      </c>
      <c r="Q919" t="s">
        <v>74</v>
      </c>
      <c r="R919" t="s">
        <v>74</v>
      </c>
      <c r="S919" t="s">
        <v>74</v>
      </c>
      <c r="T919" t="s">
        <v>13004</v>
      </c>
      <c r="U919" t="s">
        <v>13005</v>
      </c>
      <c r="V919" t="s">
        <v>13006</v>
      </c>
      <c r="W919" t="s">
        <v>13007</v>
      </c>
      <c r="X919" t="s">
        <v>13008</v>
      </c>
      <c r="Y919" t="s">
        <v>13009</v>
      </c>
      <c r="Z919" t="s">
        <v>13010</v>
      </c>
      <c r="AA919" t="s">
        <v>13011</v>
      </c>
      <c r="AB919" t="s">
        <v>13012</v>
      </c>
      <c r="AC919" t="s">
        <v>74</v>
      </c>
      <c r="AD919" t="s">
        <v>74</v>
      </c>
      <c r="AE919" t="s">
        <v>74</v>
      </c>
      <c r="AF919" t="s">
        <v>74</v>
      </c>
      <c r="AG919">
        <v>31</v>
      </c>
      <c r="AH919">
        <v>90</v>
      </c>
      <c r="AI919">
        <v>102</v>
      </c>
      <c r="AJ919">
        <v>0</v>
      </c>
      <c r="AK919">
        <v>21</v>
      </c>
      <c r="AL919" t="s">
        <v>562</v>
      </c>
      <c r="AM919" t="s">
        <v>532</v>
      </c>
      <c r="AN919" t="s">
        <v>563</v>
      </c>
      <c r="AO919" t="s">
        <v>9746</v>
      </c>
      <c r="AP919" t="s">
        <v>13013</v>
      </c>
      <c r="AQ919" t="s">
        <v>74</v>
      </c>
      <c r="AR919" t="s">
        <v>9747</v>
      </c>
      <c r="AS919" t="s">
        <v>9748</v>
      </c>
      <c r="AT919" t="s">
        <v>11880</v>
      </c>
      <c r="AU919">
        <v>2004</v>
      </c>
      <c r="AV919">
        <v>155</v>
      </c>
      <c r="AW919">
        <v>4</v>
      </c>
      <c r="AX919" t="s">
        <v>74</v>
      </c>
      <c r="AY919" t="s">
        <v>74</v>
      </c>
      <c r="AZ919" t="s">
        <v>74</v>
      </c>
      <c r="BA919" t="s">
        <v>74</v>
      </c>
      <c r="BB919">
        <v>283</v>
      </c>
      <c r="BC919">
        <v>289</v>
      </c>
      <c r="BD919" t="s">
        <v>74</v>
      </c>
      <c r="BE919" t="s">
        <v>13014</v>
      </c>
      <c r="BF919" t="str">
        <f>HYPERLINK("http://dx.doi.org/10.1016/j.resmic.2004.02.001","http://dx.doi.org/10.1016/j.resmic.2004.02.001")</f>
        <v>http://dx.doi.org/10.1016/j.resmic.2004.02.001</v>
      </c>
      <c r="BG919" t="s">
        <v>74</v>
      </c>
      <c r="BH919" t="s">
        <v>74</v>
      </c>
      <c r="BI919">
        <v>7</v>
      </c>
      <c r="BJ919" t="s">
        <v>1536</v>
      </c>
      <c r="BK919" t="s">
        <v>139</v>
      </c>
      <c r="BL919" t="s">
        <v>1536</v>
      </c>
      <c r="BM919" t="s">
        <v>13015</v>
      </c>
      <c r="BN919">
        <v>15142626</v>
      </c>
      <c r="BO919" t="s">
        <v>2236</v>
      </c>
      <c r="BP919" t="s">
        <v>74</v>
      </c>
      <c r="BQ919" t="s">
        <v>74</v>
      </c>
      <c r="BR919" t="s">
        <v>98</v>
      </c>
      <c r="BS919" t="s">
        <v>13016</v>
      </c>
      <c r="BT919" t="str">
        <f>HYPERLINK("https%3A%2F%2Fwww.webofscience.com%2Fwos%2Fwoscc%2Ffull-record%2FWOS:000222007300010","View Full Record in Web of Science")</f>
        <v>View Full Record in Web of Science</v>
      </c>
    </row>
    <row r="920" spans="1:72" x14ac:dyDescent="0.15">
      <c r="A920" t="s">
        <v>122</v>
      </c>
      <c r="B920" t="s">
        <v>13017</v>
      </c>
      <c r="C920" t="s">
        <v>74</v>
      </c>
      <c r="D920" t="s">
        <v>74</v>
      </c>
      <c r="E920" t="s">
        <v>74</v>
      </c>
      <c r="F920" t="s">
        <v>13017</v>
      </c>
      <c r="G920" t="s">
        <v>74</v>
      </c>
      <c r="H920" t="s">
        <v>74</v>
      </c>
      <c r="I920" t="s">
        <v>13018</v>
      </c>
      <c r="J920" t="s">
        <v>13019</v>
      </c>
      <c r="K920" t="s">
        <v>74</v>
      </c>
      <c r="L920" t="s">
        <v>74</v>
      </c>
      <c r="M920" t="s">
        <v>79</v>
      </c>
      <c r="N920" t="s">
        <v>126</v>
      </c>
      <c r="O920" t="s">
        <v>74</v>
      </c>
      <c r="P920" t="s">
        <v>74</v>
      </c>
      <c r="Q920" t="s">
        <v>74</v>
      </c>
      <c r="R920" t="s">
        <v>74</v>
      </c>
      <c r="S920" t="s">
        <v>74</v>
      </c>
      <c r="T920" t="s">
        <v>13020</v>
      </c>
      <c r="U920" t="s">
        <v>13021</v>
      </c>
      <c r="V920" t="s">
        <v>13022</v>
      </c>
      <c r="W920" t="s">
        <v>13023</v>
      </c>
      <c r="X920" t="s">
        <v>5125</v>
      </c>
      <c r="Y920" t="s">
        <v>13024</v>
      </c>
      <c r="Z920" t="s">
        <v>13025</v>
      </c>
      <c r="AA920" t="s">
        <v>4265</v>
      </c>
      <c r="AB920" t="s">
        <v>13026</v>
      </c>
      <c r="AC920" t="s">
        <v>74</v>
      </c>
      <c r="AD920" t="s">
        <v>74</v>
      </c>
      <c r="AE920" t="s">
        <v>74</v>
      </c>
      <c r="AF920" t="s">
        <v>74</v>
      </c>
      <c r="AG920">
        <v>44</v>
      </c>
      <c r="AH920">
        <v>36</v>
      </c>
      <c r="AI920">
        <v>39</v>
      </c>
      <c r="AJ920">
        <v>0</v>
      </c>
      <c r="AK920">
        <v>15</v>
      </c>
      <c r="AL920" t="s">
        <v>1273</v>
      </c>
      <c r="AM920" t="s">
        <v>197</v>
      </c>
      <c r="AN920" t="s">
        <v>1274</v>
      </c>
      <c r="AO920" t="s">
        <v>13027</v>
      </c>
      <c r="AP920" t="s">
        <v>74</v>
      </c>
      <c r="AQ920" t="s">
        <v>74</v>
      </c>
      <c r="AR920" t="s">
        <v>13028</v>
      </c>
      <c r="AS920" t="s">
        <v>13029</v>
      </c>
      <c r="AT920" t="s">
        <v>11880</v>
      </c>
      <c r="AU920">
        <v>2004</v>
      </c>
      <c r="AV920">
        <v>36</v>
      </c>
      <c r="AW920">
        <v>6</v>
      </c>
      <c r="AX920" t="s">
        <v>74</v>
      </c>
      <c r="AY920" t="s">
        <v>74</v>
      </c>
      <c r="AZ920" t="s">
        <v>74</v>
      </c>
      <c r="BA920" t="s">
        <v>74</v>
      </c>
      <c r="BB920">
        <v>927</v>
      </c>
      <c r="BC920">
        <v>934</v>
      </c>
      <c r="BD920" t="s">
        <v>74</v>
      </c>
      <c r="BE920" t="s">
        <v>13030</v>
      </c>
      <c r="BF920" t="str">
        <f>HYPERLINK("http://dx.doi.org/10.1016/j.soilbio.2004.02.007","http://dx.doi.org/10.1016/j.soilbio.2004.02.007")</f>
        <v>http://dx.doi.org/10.1016/j.soilbio.2004.02.007</v>
      </c>
      <c r="BG920" t="s">
        <v>74</v>
      </c>
      <c r="BH920" t="s">
        <v>74</v>
      </c>
      <c r="BI920">
        <v>8</v>
      </c>
      <c r="BJ920" t="s">
        <v>13031</v>
      </c>
      <c r="BK920" t="s">
        <v>139</v>
      </c>
      <c r="BL920" t="s">
        <v>13032</v>
      </c>
      <c r="BM920" t="s">
        <v>13033</v>
      </c>
      <c r="BN920" t="s">
        <v>74</v>
      </c>
      <c r="BO920" t="s">
        <v>74</v>
      </c>
      <c r="BP920" t="s">
        <v>74</v>
      </c>
      <c r="BQ920" t="s">
        <v>74</v>
      </c>
      <c r="BR920" t="s">
        <v>98</v>
      </c>
      <c r="BS920" t="s">
        <v>13034</v>
      </c>
      <c r="BT920" t="str">
        <f>HYPERLINK("https%3A%2F%2Fwww.webofscience.com%2Fwos%2Fwoscc%2Ffull-record%2FWOS:000221848900006","View Full Record in Web of Science")</f>
        <v>View Full Record in Web of Science</v>
      </c>
    </row>
    <row r="921" spans="1:72" x14ac:dyDescent="0.15">
      <c r="A921" t="s">
        <v>122</v>
      </c>
      <c r="B921" t="s">
        <v>13035</v>
      </c>
      <c r="C921" t="s">
        <v>74</v>
      </c>
      <c r="D921" t="s">
        <v>74</v>
      </c>
      <c r="E921" t="s">
        <v>74</v>
      </c>
      <c r="F921" t="s">
        <v>13035</v>
      </c>
      <c r="G921" t="s">
        <v>74</v>
      </c>
      <c r="H921" t="s">
        <v>74</v>
      </c>
      <c r="I921" t="s">
        <v>13036</v>
      </c>
      <c r="J921" t="s">
        <v>3809</v>
      </c>
      <c r="K921" t="s">
        <v>74</v>
      </c>
      <c r="L921" t="s">
        <v>74</v>
      </c>
      <c r="M921" t="s">
        <v>79</v>
      </c>
      <c r="N921" t="s">
        <v>126</v>
      </c>
      <c r="O921" t="s">
        <v>74</v>
      </c>
      <c r="P921" t="s">
        <v>74</v>
      </c>
      <c r="Q921" t="s">
        <v>74</v>
      </c>
      <c r="R921" t="s">
        <v>74</v>
      </c>
      <c r="S921" t="s">
        <v>74</v>
      </c>
      <c r="T921" t="s">
        <v>13037</v>
      </c>
      <c r="U921" t="s">
        <v>13038</v>
      </c>
      <c r="V921" t="s">
        <v>13039</v>
      </c>
      <c r="W921" t="s">
        <v>13040</v>
      </c>
      <c r="X921" t="s">
        <v>13041</v>
      </c>
      <c r="Y921" t="s">
        <v>13042</v>
      </c>
      <c r="Z921" t="s">
        <v>13043</v>
      </c>
      <c r="AA921" t="s">
        <v>13044</v>
      </c>
      <c r="AB921" t="s">
        <v>13045</v>
      </c>
      <c r="AC921" t="s">
        <v>74</v>
      </c>
      <c r="AD921" t="s">
        <v>74</v>
      </c>
      <c r="AE921" t="s">
        <v>74</v>
      </c>
      <c r="AF921" t="s">
        <v>74</v>
      </c>
      <c r="AG921">
        <v>45</v>
      </c>
      <c r="AH921">
        <v>34</v>
      </c>
      <c r="AI921">
        <v>37</v>
      </c>
      <c r="AJ921">
        <v>1</v>
      </c>
      <c r="AK921">
        <v>10</v>
      </c>
      <c r="AL921" t="s">
        <v>13046</v>
      </c>
      <c r="AM921" t="s">
        <v>13047</v>
      </c>
      <c r="AN921" t="s">
        <v>13048</v>
      </c>
      <c r="AO921" t="s">
        <v>3822</v>
      </c>
      <c r="AP921" t="s">
        <v>74</v>
      </c>
      <c r="AQ921" t="s">
        <v>74</v>
      </c>
      <c r="AR921" t="s">
        <v>3823</v>
      </c>
      <c r="AS921" t="s">
        <v>3824</v>
      </c>
      <c r="AT921" t="s">
        <v>11880</v>
      </c>
      <c r="AU921">
        <v>2004</v>
      </c>
      <c r="AV921">
        <v>27</v>
      </c>
      <c r="AW921">
        <v>3</v>
      </c>
      <c r="AX921" t="s">
        <v>74</v>
      </c>
      <c r="AY921" t="s">
        <v>74</v>
      </c>
      <c r="AZ921" t="s">
        <v>74</v>
      </c>
      <c r="BA921" t="s">
        <v>74</v>
      </c>
      <c r="BB921">
        <v>323</v>
      </c>
      <c r="BC921">
        <v>333</v>
      </c>
      <c r="BD921" t="s">
        <v>74</v>
      </c>
      <c r="BE921" t="s">
        <v>13049</v>
      </c>
      <c r="BF921" t="str">
        <f>HYPERLINK("http://dx.doi.org/10.1078/0723-2020-00271","http://dx.doi.org/10.1078/0723-2020-00271")</f>
        <v>http://dx.doi.org/10.1078/0723-2020-00271</v>
      </c>
      <c r="BG921" t="s">
        <v>74</v>
      </c>
      <c r="BH921" t="s">
        <v>74</v>
      </c>
      <c r="BI921">
        <v>11</v>
      </c>
      <c r="BJ921" t="s">
        <v>1123</v>
      </c>
      <c r="BK921" t="s">
        <v>139</v>
      </c>
      <c r="BL921" t="s">
        <v>1123</v>
      </c>
      <c r="BM921" t="s">
        <v>13050</v>
      </c>
      <c r="BN921">
        <v>15214638</v>
      </c>
      <c r="BO921" t="s">
        <v>74</v>
      </c>
      <c r="BP921" t="s">
        <v>74</v>
      </c>
      <c r="BQ921" t="s">
        <v>74</v>
      </c>
      <c r="BR921" t="s">
        <v>98</v>
      </c>
      <c r="BS921" t="s">
        <v>13051</v>
      </c>
      <c r="BT921" t="str">
        <f>HYPERLINK("https%3A%2F%2Fwww.webofscience.com%2Fwos%2Fwoscc%2Ffull-record%2FWOS:000222032100008","View Full Record in Web of Science")</f>
        <v>View Full Record in Web of Science</v>
      </c>
    </row>
    <row r="922" spans="1:72" x14ac:dyDescent="0.15">
      <c r="A922" t="s">
        <v>122</v>
      </c>
      <c r="B922" t="s">
        <v>13052</v>
      </c>
      <c r="C922" t="s">
        <v>74</v>
      </c>
      <c r="D922" t="s">
        <v>74</v>
      </c>
      <c r="E922" t="s">
        <v>74</v>
      </c>
      <c r="F922" t="s">
        <v>13052</v>
      </c>
      <c r="G922" t="s">
        <v>74</v>
      </c>
      <c r="H922" t="s">
        <v>74</v>
      </c>
      <c r="I922" t="s">
        <v>13053</v>
      </c>
      <c r="J922" t="s">
        <v>13054</v>
      </c>
      <c r="K922" t="s">
        <v>74</v>
      </c>
      <c r="L922" t="s">
        <v>74</v>
      </c>
      <c r="M922" t="s">
        <v>79</v>
      </c>
      <c r="N922" t="s">
        <v>126</v>
      </c>
      <c r="O922" t="s">
        <v>74</v>
      </c>
      <c r="P922" t="s">
        <v>74</v>
      </c>
      <c r="Q922" t="s">
        <v>74</v>
      </c>
      <c r="R922" t="s">
        <v>74</v>
      </c>
      <c r="S922" t="s">
        <v>74</v>
      </c>
      <c r="T922" t="s">
        <v>13055</v>
      </c>
      <c r="U922" t="s">
        <v>13056</v>
      </c>
      <c r="V922" t="s">
        <v>13057</v>
      </c>
      <c r="W922" t="s">
        <v>13058</v>
      </c>
      <c r="X922" t="s">
        <v>5820</v>
      </c>
      <c r="Y922" t="s">
        <v>13059</v>
      </c>
      <c r="Z922" t="s">
        <v>5822</v>
      </c>
      <c r="AA922" t="s">
        <v>74</v>
      </c>
      <c r="AB922" t="s">
        <v>74</v>
      </c>
      <c r="AC922" t="s">
        <v>74</v>
      </c>
      <c r="AD922" t="s">
        <v>74</v>
      </c>
      <c r="AE922" t="s">
        <v>74</v>
      </c>
      <c r="AF922" t="s">
        <v>74</v>
      </c>
      <c r="AG922">
        <v>46</v>
      </c>
      <c r="AH922">
        <v>4</v>
      </c>
      <c r="AI922">
        <v>5</v>
      </c>
      <c r="AJ922">
        <v>0</v>
      </c>
      <c r="AK922">
        <v>3</v>
      </c>
      <c r="AL922" t="s">
        <v>919</v>
      </c>
      <c r="AM922" t="s">
        <v>613</v>
      </c>
      <c r="AN922" t="s">
        <v>937</v>
      </c>
      <c r="AO922" t="s">
        <v>13060</v>
      </c>
      <c r="AP922" t="s">
        <v>13061</v>
      </c>
      <c r="AQ922" t="s">
        <v>74</v>
      </c>
      <c r="AR922" t="s">
        <v>13054</v>
      </c>
      <c r="AS922" t="s">
        <v>13062</v>
      </c>
      <c r="AT922" t="s">
        <v>11880</v>
      </c>
      <c r="AU922">
        <v>2004</v>
      </c>
      <c r="AV922">
        <v>12</v>
      </c>
      <c r="AW922">
        <v>2</v>
      </c>
      <c r="AX922" t="s">
        <v>74</v>
      </c>
      <c r="AY922" t="s">
        <v>74</v>
      </c>
      <c r="AZ922" t="s">
        <v>74</v>
      </c>
      <c r="BA922" t="s">
        <v>74</v>
      </c>
      <c r="BB922">
        <v>125</v>
      </c>
      <c r="BC922">
        <v>132</v>
      </c>
      <c r="BD922" t="s">
        <v>74</v>
      </c>
      <c r="BE922" t="s">
        <v>13063</v>
      </c>
      <c r="BF922" t="str">
        <f>HYPERLINK("http://dx.doi.org/10.1017/S0967199404002655","http://dx.doi.org/10.1017/S0967199404002655")</f>
        <v>http://dx.doi.org/10.1017/S0967199404002655</v>
      </c>
      <c r="BG922" t="s">
        <v>74</v>
      </c>
      <c r="BH922" t="s">
        <v>74</v>
      </c>
      <c r="BI922">
        <v>8</v>
      </c>
      <c r="BJ922" t="s">
        <v>13064</v>
      </c>
      <c r="BK922" t="s">
        <v>139</v>
      </c>
      <c r="BL922" t="s">
        <v>13064</v>
      </c>
      <c r="BM922" t="s">
        <v>13065</v>
      </c>
      <c r="BN922">
        <v>15460107</v>
      </c>
      <c r="BO922" t="s">
        <v>74</v>
      </c>
      <c r="BP922" t="s">
        <v>74</v>
      </c>
      <c r="BQ922" t="s">
        <v>74</v>
      </c>
      <c r="BR922" t="s">
        <v>98</v>
      </c>
      <c r="BS922" t="s">
        <v>13066</v>
      </c>
      <c r="BT922" t="str">
        <f>HYPERLINK("https%3A%2F%2Fwww.webofscience.com%2Fwos%2Fwoscc%2Ffull-record%2FWOS:000223802000005","View Full Record in Web of Science")</f>
        <v>View Full Record in Web of Science</v>
      </c>
    </row>
    <row r="923" spans="1:72" x14ac:dyDescent="0.15">
      <c r="A923" t="s">
        <v>122</v>
      </c>
      <c r="B923" t="s">
        <v>13067</v>
      </c>
      <c r="C923" t="s">
        <v>74</v>
      </c>
      <c r="D923" t="s">
        <v>74</v>
      </c>
      <c r="E923" t="s">
        <v>74</v>
      </c>
      <c r="F923" t="s">
        <v>13067</v>
      </c>
      <c r="G923" t="s">
        <v>74</v>
      </c>
      <c r="H923" t="s">
        <v>74</v>
      </c>
      <c r="I923" t="s">
        <v>13068</v>
      </c>
      <c r="J923" t="s">
        <v>522</v>
      </c>
      <c r="K923" t="s">
        <v>74</v>
      </c>
      <c r="L923" t="s">
        <v>74</v>
      </c>
      <c r="M923" t="s">
        <v>79</v>
      </c>
      <c r="N923" t="s">
        <v>126</v>
      </c>
      <c r="O923" t="s">
        <v>74</v>
      </c>
      <c r="P923" t="s">
        <v>74</v>
      </c>
      <c r="Q923" t="s">
        <v>74</v>
      </c>
      <c r="R923" t="s">
        <v>74</v>
      </c>
      <c r="S923" t="s">
        <v>74</v>
      </c>
      <c r="T923" t="s">
        <v>13069</v>
      </c>
      <c r="U923" t="s">
        <v>13070</v>
      </c>
      <c r="V923" t="s">
        <v>13071</v>
      </c>
      <c r="W923" t="s">
        <v>13072</v>
      </c>
      <c r="X923" t="s">
        <v>13073</v>
      </c>
      <c r="Y923" t="s">
        <v>13074</v>
      </c>
      <c r="Z923" t="s">
        <v>13075</v>
      </c>
      <c r="AA923" t="s">
        <v>74</v>
      </c>
      <c r="AB923" t="s">
        <v>13076</v>
      </c>
      <c r="AC923" t="s">
        <v>74</v>
      </c>
      <c r="AD923" t="s">
        <v>74</v>
      </c>
      <c r="AE923" t="s">
        <v>74</v>
      </c>
      <c r="AF923" t="s">
        <v>74</v>
      </c>
      <c r="AG923">
        <v>33</v>
      </c>
      <c r="AH923">
        <v>25</v>
      </c>
      <c r="AI923">
        <v>29</v>
      </c>
      <c r="AJ923">
        <v>0</v>
      </c>
      <c r="AK923">
        <v>3</v>
      </c>
      <c r="AL923" t="s">
        <v>531</v>
      </c>
      <c r="AM923" t="s">
        <v>532</v>
      </c>
      <c r="AN923" t="s">
        <v>533</v>
      </c>
      <c r="AO923" t="s">
        <v>534</v>
      </c>
      <c r="AP923" t="s">
        <v>535</v>
      </c>
      <c r="AQ923" t="s">
        <v>74</v>
      </c>
      <c r="AR923" t="s">
        <v>536</v>
      </c>
      <c r="AS923" t="s">
        <v>537</v>
      </c>
      <c r="AT923" t="s">
        <v>13077</v>
      </c>
      <c r="AU923">
        <v>2004</v>
      </c>
      <c r="AV923">
        <v>221</v>
      </c>
      <c r="AW923" t="s">
        <v>595</v>
      </c>
      <c r="AX923" t="s">
        <v>74</v>
      </c>
      <c r="AY923" t="s">
        <v>74</v>
      </c>
      <c r="AZ923" t="s">
        <v>74</v>
      </c>
      <c r="BA923" t="s">
        <v>74</v>
      </c>
      <c r="BB923">
        <v>383</v>
      </c>
      <c r="BC923">
        <v>396</v>
      </c>
      <c r="BD923" t="s">
        <v>74</v>
      </c>
      <c r="BE923" t="s">
        <v>13078</v>
      </c>
      <c r="BF923" t="str">
        <f>HYPERLINK("http://dx.doi.org/10.1016/S0012-821X(04)00104-9","http://dx.doi.org/10.1016/S0012-821X(04)00104-9")</f>
        <v>http://dx.doi.org/10.1016/S0012-821X(04)00104-9</v>
      </c>
      <c r="BG923" t="s">
        <v>74</v>
      </c>
      <c r="BH923" t="s">
        <v>74</v>
      </c>
      <c r="BI923">
        <v>14</v>
      </c>
      <c r="BJ923" t="s">
        <v>271</v>
      </c>
      <c r="BK923" t="s">
        <v>139</v>
      </c>
      <c r="BL923" t="s">
        <v>271</v>
      </c>
      <c r="BM923" t="s">
        <v>13079</v>
      </c>
      <c r="BN923" t="s">
        <v>74</v>
      </c>
      <c r="BO923" t="s">
        <v>74</v>
      </c>
      <c r="BP923" t="s">
        <v>74</v>
      </c>
      <c r="BQ923" t="s">
        <v>74</v>
      </c>
      <c r="BR923" t="s">
        <v>98</v>
      </c>
      <c r="BS923" t="s">
        <v>13080</v>
      </c>
      <c r="BT923" t="str">
        <f>HYPERLINK("https%3A%2F%2Fwww.webofscience.com%2Fwos%2Fwoscc%2Ffull-record%2FWOS:000220944500026","View Full Record in Web of Science")</f>
        <v>View Full Record in Web of Science</v>
      </c>
    </row>
    <row r="924" spans="1:72" x14ac:dyDescent="0.15">
      <c r="A924" t="s">
        <v>122</v>
      </c>
      <c r="B924" t="s">
        <v>13081</v>
      </c>
      <c r="C924" t="s">
        <v>74</v>
      </c>
      <c r="D924" t="s">
        <v>74</v>
      </c>
      <c r="E924" t="s">
        <v>74</v>
      </c>
      <c r="F924" t="s">
        <v>13081</v>
      </c>
      <c r="G924" t="s">
        <v>74</v>
      </c>
      <c r="H924" t="s">
        <v>74</v>
      </c>
      <c r="I924" t="s">
        <v>13082</v>
      </c>
      <c r="J924" t="s">
        <v>580</v>
      </c>
      <c r="K924" t="s">
        <v>74</v>
      </c>
      <c r="L924" t="s">
        <v>74</v>
      </c>
      <c r="M924" t="s">
        <v>79</v>
      </c>
      <c r="N924" t="s">
        <v>126</v>
      </c>
      <c r="O924" t="s">
        <v>74</v>
      </c>
      <c r="P924" t="s">
        <v>74</v>
      </c>
      <c r="Q924" t="s">
        <v>74</v>
      </c>
      <c r="R924" t="s">
        <v>74</v>
      </c>
      <c r="S924" t="s">
        <v>74</v>
      </c>
      <c r="T924" t="s">
        <v>13083</v>
      </c>
      <c r="U924" t="s">
        <v>13084</v>
      </c>
      <c r="V924" t="s">
        <v>13085</v>
      </c>
      <c r="W924" t="s">
        <v>13086</v>
      </c>
      <c r="X924" t="s">
        <v>13087</v>
      </c>
      <c r="Y924" t="s">
        <v>13088</v>
      </c>
      <c r="Z924" t="s">
        <v>13089</v>
      </c>
      <c r="AA924" t="s">
        <v>13090</v>
      </c>
      <c r="AB924" t="s">
        <v>13091</v>
      </c>
      <c r="AC924" t="s">
        <v>74</v>
      </c>
      <c r="AD924" t="s">
        <v>74</v>
      </c>
      <c r="AE924" t="s">
        <v>74</v>
      </c>
      <c r="AF924" t="s">
        <v>74</v>
      </c>
      <c r="AG924">
        <v>99</v>
      </c>
      <c r="AH924">
        <v>70</v>
      </c>
      <c r="AI924">
        <v>76</v>
      </c>
      <c r="AJ924">
        <v>1</v>
      </c>
      <c r="AK924">
        <v>17</v>
      </c>
      <c r="AL924" t="s">
        <v>531</v>
      </c>
      <c r="AM924" t="s">
        <v>532</v>
      </c>
      <c r="AN924" t="s">
        <v>533</v>
      </c>
      <c r="AO924" t="s">
        <v>591</v>
      </c>
      <c r="AP924" t="s">
        <v>592</v>
      </c>
      <c r="AQ924" t="s">
        <v>74</v>
      </c>
      <c r="AR924" t="s">
        <v>593</v>
      </c>
      <c r="AS924" t="s">
        <v>594</v>
      </c>
      <c r="AT924" t="s">
        <v>13077</v>
      </c>
      <c r="AU924">
        <v>2004</v>
      </c>
      <c r="AV924">
        <v>205</v>
      </c>
      <c r="AW924" t="s">
        <v>595</v>
      </c>
      <c r="AX924" t="s">
        <v>74</v>
      </c>
      <c r="AY924" t="s">
        <v>74</v>
      </c>
      <c r="AZ924" t="s">
        <v>74</v>
      </c>
      <c r="BA924" t="s">
        <v>74</v>
      </c>
      <c r="BB924">
        <v>9</v>
      </c>
      <c r="BC924">
        <v>27</v>
      </c>
      <c r="BD924" t="s">
        <v>74</v>
      </c>
      <c r="BE924" t="s">
        <v>13092</v>
      </c>
      <c r="BF924" t="str">
        <f>HYPERLINK("http://dx.doi.org/10.1016/S0025-3227(04)00016-7","http://dx.doi.org/10.1016/S0025-3227(04)00016-7")</f>
        <v>http://dx.doi.org/10.1016/S0025-3227(04)00016-7</v>
      </c>
      <c r="BG924" t="s">
        <v>74</v>
      </c>
      <c r="BH924" t="s">
        <v>74</v>
      </c>
      <c r="BI924">
        <v>19</v>
      </c>
      <c r="BJ924" t="s">
        <v>597</v>
      </c>
      <c r="BK924" t="s">
        <v>139</v>
      </c>
      <c r="BL924" t="s">
        <v>598</v>
      </c>
      <c r="BM924" t="s">
        <v>13093</v>
      </c>
      <c r="BN924" t="s">
        <v>74</v>
      </c>
      <c r="BO924" t="s">
        <v>74</v>
      </c>
      <c r="BP924" t="s">
        <v>74</v>
      </c>
      <c r="BQ924" t="s">
        <v>74</v>
      </c>
      <c r="BR924" t="s">
        <v>98</v>
      </c>
      <c r="BS924" t="s">
        <v>13094</v>
      </c>
      <c r="BT924" t="str">
        <f>HYPERLINK("https%3A%2F%2Fwww.webofscience.com%2Fwos%2Fwoscc%2Ffull-record%2FWOS:000220987100002","View Full Record in Web of Science")</f>
        <v>View Full Record in Web of Science</v>
      </c>
    </row>
    <row r="925" spans="1:72" x14ac:dyDescent="0.15">
      <c r="A925" t="s">
        <v>122</v>
      </c>
      <c r="B925" t="s">
        <v>13095</v>
      </c>
      <c r="C925" t="s">
        <v>74</v>
      </c>
      <c r="D925" t="s">
        <v>74</v>
      </c>
      <c r="E925" t="s">
        <v>74</v>
      </c>
      <c r="F925" t="s">
        <v>13095</v>
      </c>
      <c r="G925" t="s">
        <v>74</v>
      </c>
      <c r="H925" t="s">
        <v>74</v>
      </c>
      <c r="I925" t="s">
        <v>13096</v>
      </c>
      <c r="J925" t="s">
        <v>580</v>
      </c>
      <c r="K925" t="s">
        <v>74</v>
      </c>
      <c r="L925" t="s">
        <v>74</v>
      </c>
      <c r="M925" t="s">
        <v>79</v>
      </c>
      <c r="N925" t="s">
        <v>581</v>
      </c>
      <c r="O925" t="s">
        <v>74</v>
      </c>
      <c r="P925" t="s">
        <v>74</v>
      </c>
      <c r="Q925" t="s">
        <v>74</v>
      </c>
      <c r="R925" t="s">
        <v>74</v>
      </c>
      <c r="S925" t="s">
        <v>74</v>
      </c>
      <c r="T925" t="s">
        <v>13097</v>
      </c>
      <c r="U925" t="s">
        <v>13098</v>
      </c>
      <c r="V925" t="s">
        <v>13099</v>
      </c>
      <c r="W925" t="s">
        <v>13100</v>
      </c>
      <c r="X925" t="s">
        <v>7031</v>
      </c>
      <c r="Y925" t="s">
        <v>13101</v>
      </c>
      <c r="Z925" t="s">
        <v>13102</v>
      </c>
      <c r="AA925" t="s">
        <v>7034</v>
      </c>
      <c r="AB925" t="s">
        <v>7035</v>
      </c>
      <c r="AC925" t="s">
        <v>74</v>
      </c>
      <c r="AD925" t="s">
        <v>74</v>
      </c>
      <c r="AE925" t="s">
        <v>74</v>
      </c>
      <c r="AF925" t="s">
        <v>74</v>
      </c>
      <c r="AG925">
        <v>106</v>
      </c>
      <c r="AH925">
        <v>35</v>
      </c>
      <c r="AI925">
        <v>40</v>
      </c>
      <c r="AJ925">
        <v>0</v>
      </c>
      <c r="AK925">
        <v>17</v>
      </c>
      <c r="AL925" t="s">
        <v>531</v>
      </c>
      <c r="AM925" t="s">
        <v>532</v>
      </c>
      <c r="AN925" t="s">
        <v>533</v>
      </c>
      <c r="AO925" t="s">
        <v>591</v>
      </c>
      <c r="AP925" t="s">
        <v>592</v>
      </c>
      <c r="AQ925" t="s">
        <v>74</v>
      </c>
      <c r="AR925" t="s">
        <v>593</v>
      </c>
      <c r="AS925" t="s">
        <v>594</v>
      </c>
      <c r="AT925" t="s">
        <v>13077</v>
      </c>
      <c r="AU925">
        <v>2004</v>
      </c>
      <c r="AV925">
        <v>205</v>
      </c>
      <c r="AW925" t="s">
        <v>595</v>
      </c>
      <c r="AX925" t="s">
        <v>74</v>
      </c>
      <c r="AY925" t="s">
        <v>74</v>
      </c>
      <c r="AZ925" t="s">
        <v>74</v>
      </c>
      <c r="BA925" t="s">
        <v>74</v>
      </c>
      <c r="BB925">
        <v>147</v>
      </c>
      <c r="BC925">
        <v>184</v>
      </c>
      <c r="BD925" t="s">
        <v>74</v>
      </c>
      <c r="BE925" t="s">
        <v>13103</v>
      </c>
      <c r="BF925" t="str">
        <f>HYPERLINK("http://dx.doi.org/10.1016/S0025-3227(04)00022-2","http://dx.doi.org/10.1016/S0025-3227(04)00022-2")</f>
        <v>http://dx.doi.org/10.1016/S0025-3227(04)00022-2</v>
      </c>
      <c r="BG925" t="s">
        <v>74</v>
      </c>
      <c r="BH925" t="s">
        <v>74</v>
      </c>
      <c r="BI925">
        <v>38</v>
      </c>
      <c r="BJ925" t="s">
        <v>597</v>
      </c>
      <c r="BK925" t="s">
        <v>139</v>
      </c>
      <c r="BL925" t="s">
        <v>598</v>
      </c>
      <c r="BM925" t="s">
        <v>13093</v>
      </c>
      <c r="BN925" t="s">
        <v>74</v>
      </c>
      <c r="BO925" t="s">
        <v>74</v>
      </c>
      <c r="BP925" t="s">
        <v>74</v>
      </c>
      <c r="BQ925" t="s">
        <v>74</v>
      </c>
      <c r="BR925" t="s">
        <v>98</v>
      </c>
      <c r="BS925" t="s">
        <v>13104</v>
      </c>
      <c r="BT925" t="str">
        <f>HYPERLINK("https%3A%2F%2Fwww.webofscience.com%2Fwos%2Fwoscc%2Ffull-record%2FWOS:000220987100008","View Full Record in Web of Science")</f>
        <v>View Full Record in Web of Science</v>
      </c>
    </row>
    <row r="926" spans="1:72" x14ac:dyDescent="0.15">
      <c r="A926" t="s">
        <v>122</v>
      </c>
      <c r="B926" t="s">
        <v>13105</v>
      </c>
      <c r="C926" t="s">
        <v>74</v>
      </c>
      <c r="D926" t="s">
        <v>74</v>
      </c>
      <c r="E926" t="s">
        <v>74</v>
      </c>
      <c r="F926" t="s">
        <v>13105</v>
      </c>
      <c r="G926" t="s">
        <v>74</v>
      </c>
      <c r="H926" t="s">
        <v>74</v>
      </c>
      <c r="I926" t="s">
        <v>13106</v>
      </c>
      <c r="J926" t="s">
        <v>580</v>
      </c>
      <c r="K926" t="s">
        <v>74</v>
      </c>
      <c r="L926" t="s">
        <v>74</v>
      </c>
      <c r="M926" t="s">
        <v>79</v>
      </c>
      <c r="N926" t="s">
        <v>126</v>
      </c>
      <c r="O926" t="s">
        <v>74</v>
      </c>
      <c r="P926" t="s">
        <v>74</v>
      </c>
      <c r="Q926" t="s">
        <v>74</v>
      </c>
      <c r="R926" t="s">
        <v>74</v>
      </c>
      <c r="S926" t="s">
        <v>74</v>
      </c>
      <c r="T926" t="s">
        <v>13107</v>
      </c>
      <c r="U926" t="s">
        <v>13108</v>
      </c>
      <c r="V926" t="s">
        <v>13109</v>
      </c>
      <c r="W926" t="s">
        <v>13110</v>
      </c>
      <c r="X926" t="s">
        <v>8721</v>
      </c>
      <c r="Y926" t="s">
        <v>13111</v>
      </c>
      <c r="Z926" t="s">
        <v>13112</v>
      </c>
      <c r="AA926" t="s">
        <v>13113</v>
      </c>
      <c r="AB926" t="s">
        <v>13114</v>
      </c>
      <c r="AC926" t="s">
        <v>74</v>
      </c>
      <c r="AD926" t="s">
        <v>74</v>
      </c>
      <c r="AE926" t="s">
        <v>74</v>
      </c>
      <c r="AF926" t="s">
        <v>74</v>
      </c>
      <c r="AG926">
        <v>58</v>
      </c>
      <c r="AH926">
        <v>22</v>
      </c>
      <c r="AI926">
        <v>22</v>
      </c>
      <c r="AJ926">
        <v>1</v>
      </c>
      <c r="AK926">
        <v>5</v>
      </c>
      <c r="AL926" t="s">
        <v>531</v>
      </c>
      <c r="AM926" t="s">
        <v>532</v>
      </c>
      <c r="AN926" t="s">
        <v>533</v>
      </c>
      <c r="AO926" t="s">
        <v>591</v>
      </c>
      <c r="AP926" t="s">
        <v>592</v>
      </c>
      <c r="AQ926" t="s">
        <v>74</v>
      </c>
      <c r="AR926" t="s">
        <v>593</v>
      </c>
      <c r="AS926" t="s">
        <v>594</v>
      </c>
      <c r="AT926" t="s">
        <v>13077</v>
      </c>
      <c r="AU926">
        <v>2004</v>
      </c>
      <c r="AV926">
        <v>205</v>
      </c>
      <c r="AW926" t="s">
        <v>595</v>
      </c>
      <c r="AX926" t="s">
        <v>74</v>
      </c>
      <c r="AY926" t="s">
        <v>74</v>
      </c>
      <c r="AZ926" t="s">
        <v>74</v>
      </c>
      <c r="BA926" t="s">
        <v>74</v>
      </c>
      <c r="BB926">
        <v>185</v>
      </c>
      <c r="BC926">
        <v>206</v>
      </c>
      <c r="BD926" t="s">
        <v>74</v>
      </c>
      <c r="BE926" t="s">
        <v>13115</v>
      </c>
      <c r="BF926" t="str">
        <f>HYPERLINK("http://dx.doi.org/10.1016/S0025-3227(04)00023-4","http://dx.doi.org/10.1016/S0025-3227(04)00023-4")</f>
        <v>http://dx.doi.org/10.1016/S0025-3227(04)00023-4</v>
      </c>
      <c r="BG926" t="s">
        <v>74</v>
      </c>
      <c r="BH926" t="s">
        <v>74</v>
      </c>
      <c r="BI926">
        <v>22</v>
      </c>
      <c r="BJ926" t="s">
        <v>597</v>
      </c>
      <c r="BK926" t="s">
        <v>139</v>
      </c>
      <c r="BL926" t="s">
        <v>598</v>
      </c>
      <c r="BM926" t="s">
        <v>13093</v>
      </c>
      <c r="BN926" t="s">
        <v>74</v>
      </c>
      <c r="BO926" t="s">
        <v>74</v>
      </c>
      <c r="BP926" t="s">
        <v>74</v>
      </c>
      <c r="BQ926" t="s">
        <v>74</v>
      </c>
      <c r="BR926" t="s">
        <v>98</v>
      </c>
      <c r="BS926" t="s">
        <v>13116</v>
      </c>
      <c r="BT926" t="str">
        <f>HYPERLINK("https%3A%2F%2Fwww.webofscience.com%2Fwos%2Fwoscc%2Ffull-record%2FWOS:000220987100009","View Full Record in Web of Science")</f>
        <v>View Full Record in Web of Science</v>
      </c>
    </row>
    <row r="927" spans="1:72" x14ac:dyDescent="0.15">
      <c r="A927" t="s">
        <v>122</v>
      </c>
      <c r="B927" t="s">
        <v>13117</v>
      </c>
      <c r="C927" t="s">
        <v>74</v>
      </c>
      <c r="D927" t="s">
        <v>74</v>
      </c>
      <c r="E927" t="s">
        <v>74</v>
      </c>
      <c r="F927" t="s">
        <v>13117</v>
      </c>
      <c r="G927" t="s">
        <v>74</v>
      </c>
      <c r="H927" t="s">
        <v>74</v>
      </c>
      <c r="I927" t="s">
        <v>13118</v>
      </c>
      <c r="J927" t="s">
        <v>496</v>
      </c>
      <c r="K927" t="s">
        <v>74</v>
      </c>
      <c r="L927" t="s">
        <v>74</v>
      </c>
      <c r="M927" t="s">
        <v>79</v>
      </c>
      <c r="N927" t="s">
        <v>126</v>
      </c>
      <c r="O927" t="s">
        <v>74</v>
      </c>
      <c r="P927" t="s">
        <v>74</v>
      </c>
      <c r="Q927" t="s">
        <v>74</v>
      </c>
      <c r="R927" t="s">
        <v>74</v>
      </c>
      <c r="S927" t="s">
        <v>74</v>
      </c>
      <c r="T927" t="s">
        <v>13119</v>
      </c>
      <c r="U927" t="s">
        <v>13120</v>
      </c>
      <c r="V927" t="s">
        <v>13121</v>
      </c>
      <c r="W927" t="s">
        <v>13122</v>
      </c>
      <c r="X927" t="s">
        <v>13123</v>
      </c>
      <c r="Y927" t="s">
        <v>13124</v>
      </c>
      <c r="Z927" t="s">
        <v>13125</v>
      </c>
      <c r="AA927" t="s">
        <v>13126</v>
      </c>
      <c r="AB927" t="s">
        <v>13127</v>
      </c>
      <c r="AC927" t="s">
        <v>74</v>
      </c>
      <c r="AD927" t="s">
        <v>74</v>
      </c>
      <c r="AE927" t="s">
        <v>74</v>
      </c>
      <c r="AF927" t="s">
        <v>74</v>
      </c>
      <c r="AG927">
        <v>41</v>
      </c>
      <c r="AH927">
        <v>23</v>
      </c>
      <c r="AI927">
        <v>24</v>
      </c>
      <c r="AJ927">
        <v>0</v>
      </c>
      <c r="AK927">
        <v>14</v>
      </c>
      <c r="AL927" t="s">
        <v>506</v>
      </c>
      <c r="AM927" t="s">
        <v>507</v>
      </c>
      <c r="AN927" t="s">
        <v>508</v>
      </c>
      <c r="AO927" t="s">
        <v>509</v>
      </c>
      <c r="AP927" t="s">
        <v>74</v>
      </c>
      <c r="AQ927" t="s">
        <v>74</v>
      </c>
      <c r="AR927" t="s">
        <v>511</v>
      </c>
      <c r="AS927" t="s">
        <v>512</v>
      </c>
      <c r="AT927" t="s">
        <v>13128</v>
      </c>
      <c r="AU927">
        <v>2004</v>
      </c>
      <c r="AV927">
        <v>35</v>
      </c>
      <c r="AW927">
        <v>2</v>
      </c>
      <c r="AX927" t="s">
        <v>74</v>
      </c>
      <c r="AY927" t="s">
        <v>74</v>
      </c>
      <c r="AZ927" t="s">
        <v>74</v>
      </c>
      <c r="BA927" t="s">
        <v>74</v>
      </c>
      <c r="BB927">
        <v>197</v>
      </c>
      <c r="BC927">
        <v>205</v>
      </c>
      <c r="BD927" t="s">
        <v>74</v>
      </c>
      <c r="BE927" t="s">
        <v>74</v>
      </c>
      <c r="BF927" t="s">
        <v>74</v>
      </c>
      <c r="BG927" t="s">
        <v>74</v>
      </c>
      <c r="BH927" t="s">
        <v>74</v>
      </c>
      <c r="BI927">
        <v>9</v>
      </c>
      <c r="BJ927" t="s">
        <v>515</v>
      </c>
      <c r="BK927" t="s">
        <v>139</v>
      </c>
      <c r="BL927" t="s">
        <v>516</v>
      </c>
      <c r="BM927" t="s">
        <v>13129</v>
      </c>
      <c r="BN927" t="s">
        <v>74</v>
      </c>
      <c r="BO927" t="s">
        <v>74</v>
      </c>
      <c r="BP927" t="s">
        <v>74</v>
      </c>
      <c r="BQ927" t="s">
        <v>74</v>
      </c>
      <c r="BR927" t="s">
        <v>98</v>
      </c>
      <c r="BS927" t="s">
        <v>13130</v>
      </c>
      <c r="BT927" t="str">
        <f>HYPERLINK("https%3A%2F%2Fwww.webofscience.com%2Fwos%2Fwoscc%2Ffull-record%2FWOS:000221603500009","View Full Record in Web of Science")</f>
        <v>View Full Record in Web of Science</v>
      </c>
    </row>
    <row r="928" spans="1:72" x14ac:dyDescent="0.15">
      <c r="A928" t="s">
        <v>122</v>
      </c>
      <c r="B928" t="s">
        <v>13131</v>
      </c>
      <c r="C928" t="s">
        <v>74</v>
      </c>
      <c r="D928" t="s">
        <v>74</v>
      </c>
      <c r="E928" t="s">
        <v>74</v>
      </c>
      <c r="F928" t="s">
        <v>13131</v>
      </c>
      <c r="G928" t="s">
        <v>74</v>
      </c>
      <c r="H928" t="s">
        <v>74</v>
      </c>
      <c r="I928" t="s">
        <v>13132</v>
      </c>
      <c r="J928" t="s">
        <v>277</v>
      </c>
      <c r="K928" t="s">
        <v>74</v>
      </c>
      <c r="L928" t="s">
        <v>74</v>
      </c>
      <c r="M928" t="s">
        <v>79</v>
      </c>
      <c r="N928" t="s">
        <v>126</v>
      </c>
      <c r="O928" t="s">
        <v>74</v>
      </c>
      <c r="P928" t="s">
        <v>74</v>
      </c>
      <c r="Q928" t="s">
        <v>74</v>
      </c>
      <c r="R928" t="s">
        <v>74</v>
      </c>
      <c r="S928" t="s">
        <v>74</v>
      </c>
      <c r="T928" t="s">
        <v>13133</v>
      </c>
      <c r="U928" t="s">
        <v>13134</v>
      </c>
      <c r="V928" t="s">
        <v>13135</v>
      </c>
      <c r="W928" t="s">
        <v>13136</v>
      </c>
      <c r="X928" t="s">
        <v>13137</v>
      </c>
      <c r="Y928" t="s">
        <v>13138</v>
      </c>
      <c r="Z928" t="s">
        <v>13139</v>
      </c>
      <c r="AA928" t="s">
        <v>74</v>
      </c>
      <c r="AB928" t="s">
        <v>13140</v>
      </c>
      <c r="AC928" t="s">
        <v>74</v>
      </c>
      <c r="AD928" t="s">
        <v>74</v>
      </c>
      <c r="AE928" t="s">
        <v>74</v>
      </c>
      <c r="AF928" t="s">
        <v>74</v>
      </c>
      <c r="AG928">
        <v>27</v>
      </c>
      <c r="AH928">
        <v>22</v>
      </c>
      <c r="AI928">
        <v>25</v>
      </c>
      <c r="AJ928">
        <v>0</v>
      </c>
      <c r="AK928">
        <v>4</v>
      </c>
      <c r="AL928" t="s">
        <v>239</v>
      </c>
      <c r="AM928" t="s">
        <v>240</v>
      </c>
      <c r="AN928" t="s">
        <v>241</v>
      </c>
      <c r="AO928" t="s">
        <v>284</v>
      </c>
      <c r="AP928" t="s">
        <v>285</v>
      </c>
      <c r="AQ928" t="s">
        <v>74</v>
      </c>
      <c r="AR928" t="s">
        <v>286</v>
      </c>
      <c r="AS928" t="s">
        <v>287</v>
      </c>
      <c r="AT928" t="s">
        <v>13141</v>
      </c>
      <c r="AU928">
        <v>2004</v>
      </c>
      <c r="AV928">
        <v>109</v>
      </c>
      <c r="AW928" t="s">
        <v>13142</v>
      </c>
      <c r="AX928" t="s">
        <v>74</v>
      </c>
      <c r="AY928" t="s">
        <v>74</v>
      </c>
      <c r="AZ928" t="s">
        <v>74</v>
      </c>
      <c r="BA928" t="s">
        <v>74</v>
      </c>
      <c r="BB928" t="s">
        <v>74</v>
      </c>
      <c r="BC928" t="s">
        <v>74</v>
      </c>
      <c r="BD928" t="s">
        <v>13143</v>
      </c>
      <c r="BE928" t="s">
        <v>13144</v>
      </c>
      <c r="BF928" t="str">
        <f>HYPERLINK("http://dx.doi.org/10.1029/2004JD004519","http://dx.doi.org/10.1029/2004JD004519")</f>
        <v>http://dx.doi.org/10.1029/2004JD004519</v>
      </c>
      <c r="BG928" t="s">
        <v>74</v>
      </c>
      <c r="BH928" t="s">
        <v>74</v>
      </c>
      <c r="BI928">
        <v>11</v>
      </c>
      <c r="BJ928" t="s">
        <v>291</v>
      </c>
      <c r="BK928" t="s">
        <v>139</v>
      </c>
      <c r="BL928" t="s">
        <v>291</v>
      </c>
      <c r="BM928" t="s">
        <v>13145</v>
      </c>
      <c r="BN928" t="s">
        <v>74</v>
      </c>
      <c r="BO928" t="s">
        <v>771</v>
      </c>
      <c r="BP928" t="s">
        <v>74</v>
      </c>
      <c r="BQ928" t="s">
        <v>74</v>
      </c>
      <c r="BR928" t="s">
        <v>98</v>
      </c>
      <c r="BS928" t="s">
        <v>13146</v>
      </c>
      <c r="BT928" t="str">
        <f>HYPERLINK("https%3A%2F%2Fwww.webofscience.com%2Fwos%2Fwoscc%2Ffull-record%2FWOS:000221325000007","View Full Record in Web of Science")</f>
        <v>View Full Record in Web of Science</v>
      </c>
    </row>
    <row r="929" spans="1:72" x14ac:dyDescent="0.15">
      <c r="A929" t="s">
        <v>122</v>
      </c>
      <c r="B929" t="s">
        <v>13147</v>
      </c>
      <c r="C929" t="s">
        <v>74</v>
      </c>
      <c r="D929" t="s">
        <v>74</v>
      </c>
      <c r="E929" t="s">
        <v>74</v>
      </c>
      <c r="F929" t="s">
        <v>13147</v>
      </c>
      <c r="G929" t="s">
        <v>74</v>
      </c>
      <c r="H929" t="s">
        <v>74</v>
      </c>
      <c r="I929" t="s">
        <v>13148</v>
      </c>
      <c r="J929" t="s">
        <v>643</v>
      </c>
      <c r="K929" t="s">
        <v>74</v>
      </c>
      <c r="L929" t="s">
        <v>74</v>
      </c>
      <c r="M929" t="s">
        <v>79</v>
      </c>
      <c r="N929" t="s">
        <v>126</v>
      </c>
      <c r="O929" t="s">
        <v>74</v>
      </c>
      <c r="P929" t="s">
        <v>74</v>
      </c>
      <c r="Q929" t="s">
        <v>74</v>
      </c>
      <c r="R929" t="s">
        <v>74</v>
      </c>
      <c r="S929" t="s">
        <v>74</v>
      </c>
      <c r="T929" t="s">
        <v>13149</v>
      </c>
      <c r="U929" t="s">
        <v>13150</v>
      </c>
      <c r="V929" t="s">
        <v>13151</v>
      </c>
      <c r="W929" t="s">
        <v>13152</v>
      </c>
      <c r="X929" t="s">
        <v>13153</v>
      </c>
      <c r="Y929" t="s">
        <v>13154</v>
      </c>
      <c r="Z929" t="s">
        <v>13155</v>
      </c>
      <c r="AA929" t="s">
        <v>13156</v>
      </c>
      <c r="AB929" t="s">
        <v>13157</v>
      </c>
      <c r="AC929" t="s">
        <v>74</v>
      </c>
      <c r="AD929" t="s">
        <v>74</v>
      </c>
      <c r="AE929" t="s">
        <v>74</v>
      </c>
      <c r="AF929" t="s">
        <v>74</v>
      </c>
      <c r="AG929">
        <v>27</v>
      </c>
      <c r="AH929">
        <v>23</v>
      </c>
      <c r="AI929">
        <v>26</v>
      </c>
      <c r="AJ929">
        <v>0</v>
      </c>
      <c r="AK929">
        <v>15</v>
      </c>
      <c r="AL929" t="s">
        <v>239</v>
      </c>
      <c r="AM929" t="s">
        <v>240</v>
      </c>
      <c r="AN929" t="s">
        <v>241</v>
      </c>
      <c r="AO929" t="s">
        <v>653</v>
      </c>
      <c r="AP929" t="s">
        <v>654</v>
      </c>
      <c r="AQ929" t="s">
        <v>74</v>
      </c>
      <c r="AR929" t="s">
        <v>655</v>
      </c>
      <c r="AS929" t="s">
        <v>656</v>
      </c>
      <c r="AT929" t="s">
        <v>13158</v>
      </c>
      <c r="AU929">
        <v>2004</v>
      </c>
      <c r="AV929">
        <v>109</v>
      </c>
      <c r="AW929" t="s">
        <v>13159</v>
      </c>
      <c r="AX929" t="s">
        <v>74</v>
      </c>
      <c r="AY929" t="s">
        <v>74</v>
      </c>
      <c r="AZ929" t="s">
        <v>74</v>
      </c>
      <c r="BA929" t="s">
        <v>74</v>
      </c>
      <c r="BB929" t="s">
        <v>74</v>
      </c>
      <c r="BC929" t="s">
        <v>74</v>
      </c>
      <c r="BD929" t="s">
        <v>13160</v>
      </c>
      <c r="BE929" t="s">
        <v>13161</v>
      </c>
      <c r="BF929" t="str">
        <f>HYPERLINK("http://dx.doi.org/10.1029/2003JC001837","http://dx.doi.org/10.1029/2003JC001837")</f>
        <v>http://dx.doi.org/10.1029/2003JC001837</v>
      </c>
      <c r="BG929" t="s">
        <v>74</v>
      </c>
      <c r="BH929" t="s">
        <v>74</v>
      </c>
      <c r="BI929">
        <v>12</v>
      </c>
      <c r="BJ929" t="s">
        <v>660</v>
      </c>
      <c r="BK929" t="s">
        <v>139</v>
      </c>
      <c r="BL929" t="s">
        <v>660</v>
      </c>
      <c r="BM929" t="s">
        <v>13162</v>
      </c>
      <c r="BN929" t="s">
        <v>74</v>
      </c>
      <c r="BO929" t="s">
        <v>273</v>
      </c>
      <c r="BP929" t="s">
        <v>74</v>
      </c>
      <c r="BQ929" t="s">
        <v>74</v>
      </c>
      <c r="BR929" t="s">
        <v>98</v>
      </c>
      <c r="BS929" t="s">
        <v>13163</v>
      </c>
      <c r="BT929" t="str">
        <f>HYPERLINK("https%3A%2F%2Fwww.webofscience.com%2Fwos%2Fwoscc%2Ffull-record%2FWOS:000221086800001","View Full Record in Web of Science")</f>
        <v>View Full Record in Web of Science</v>
      </c>
    </row>
    <row r="930" spans="1:72" x14ac:dyDescent="0.15">
      <c r="A930" t="s">
        <v>122</v>
      </c>
      <c r="B930" t="s">
        <v>13164</v>
      </c>
      <c r="C930" t="s">
        <v>74</v>
      </c>
      <c r="D930" t="s">
        <v>74</v>
      </c>
      <c r="E930" t="s">
        <v>74</v>
      </c>
      <c r="F930" t="s">
        <v>13164</v>
      </c>
      <c r="G930" t="s">
        <v>74</v>
      </c>
      <c r="H930" t="s">
        <v>74</v>
      </c>
      <c r="I930" t="s">
        <v>13165</v>
      </c>
      <c r="J930" t="s">
        <v>643</v>
      </c>
      <c r="K930" t="s">
        <v>74</v>
      </c>
      <c r="L930" t="s">
        <v>74</v>
      </c>
      <c r="M930" t="s">
        <v>79</v>
      </c>
      <c r="N930" t="s">
        <v>126</v>
      </c>
      <c r="O930" t="s">
        <v>74</v>
      </c>
      <c r="P930" t="s">
        <v>74</v>
      </c>
      <c r="Q930" t="s">
        <v>74</v>
      </c>
      <c r="R930" t="s">
        <v>74</v>
      </c>
      <c r="S930" t="s">
        <v>74</v>
      </c>
      <c r="T930" t="s">
        <v>13166</v>
      </c>
      <c r="U930" t="s">
        <v>13167</v>
      </c>
      <c r="V930" t="s">
        <v>13168</v>
      </c>
      <c r="W930" t="s">
        <v>13169</v>
      </c>
      <c r="X930" t="s">
        <v>12737</v>
      </c>
      <c r="Y930" t="s">
        <v>13170</v>
      </c>
      <c r="Z930" t="s">
        <v>13171</v>
      </c>
      <c r="AA930" t="s">
        <v>13172</v>
      </c>
      <c r="AB930" t="s">
        <v>13173</v>
      </c>
      <c r="AC930" t="s">
        <v>74</v>
      </c>
      <c r="AD930" t="s">
        <v>74</v>
      </c>
      <c r="AE930" t="s">
        <v>74</v>
      </c>
      <c r="AF930" t="s">
        <v>74</v>
      </c>
      <c r="AG930">
        <v>40</v>
      </c>
      <c r="AH930">
        <v>7</v>
      </c>
      <c r="AI930">
        <v>9</v>
      </c>
      <c r="AJ930">
        <v>2</v>
      </c>
      <c r="AK930">
        <v>15</v>
      </c>
      <c r="AL930" t="s">
        <v>239</v>
      </c>
      <c r="AM930" t="s">
        <v>240</v>
      </c>
      <c r="AN930" t="s">
        <v>241</v>
      </c>
      <c r="AO930" t="s">
        <v>653</v>
      </c>
      <c r="AP930" t="s">
        <v>654</v>
      </c>
      <c r="AQ930" t="s">
        <v>74</v>
      </c>
      <c r="AR930" t="s">
        <v>655</v>
      </c>
      <c r="AS930" t="s">
        <v>656</v>
      </c>
      <c r="AT930" t="s">
        <v>13158</v>
      </c>
      <c r="AU930">
        <v>2004</v>
      </c>
      <c r="AV930">
        <v>109</v>
      </c>
      <c r="AW930" t="s">
        <v>13159</v>
      </c>
      <c r="AX930" t="s">
        <v>74</v>
      </c>
      <c r="AY930" t="s">
        <v>74</v>
      </c>
      <c r="AZ930" t="s">
        <v>74</v>
      </c>
      <c r="BA930" t="s">
        <v>74</v>
      </c>
      <c r="BB930" t="s">
        <v>74</v>
      </c>
      <c r="BC930" t="s">
        <v>74</v>
      </c>
      <c r="BD930" t="s">
        <v>13174</v>
      </c>
      <c r="BE930" t="s">
        <v>13175</v>
      </c>
      <c r="BF930" t="str">
        <f>HYPERLINK("http://dx.doi.org/10.1029/2003JC002022","http://dx.doi.org/10.1029/2003JC002022")</f>
        <v>http://dx.doi.org/10.1029/2003JC002022</v>
      </c>
      <c r="BG930" t="s">
        <v>74</v>
      </c>
      <c r="BH930" t="s">
        <v>74</v>
      </c>
      <c r="BI930">
        <v>14</v>
      </c>
      <c r="BJ930" t="s">
        <v>660</v>
      </c>
      <c r="BK930" t="s">
        <v>139</v>
      </c>
      <c r="BL930" t="s">
        <v>660</v>
      </c>
      <c r="BM930" t="s">
        <v>13162</v>
      </c>
      <c r="BN930" t="s">
        <v>74</v>
      </c>
      <c r="BO930" t="s">
        <v>273</v>
      </c>
      <c r="BP930" t="s">
        <v>74</v>
      </c>
      <c r="BQ930" t="s">
        <v>74</v>
      </c>
      <c r="BR930" t="s">
        <v>98</v>
      </c>
      <c r="BS930" t="s">
        <v>13176</v>
      </c>
      <c r="BT930" t="str">
        <f>HYPERLINK("https%3A%2F%2Fwww.webofscience.com%2Fwos%2Fwoscc%2Ffull-record%2FWOS:000221086800004","View Full Record in Web of Science")</f>
        <v>View Full Record in Web of Science</v>
      </c>
    </row>
    <row r="931" spans="1:72" x14ac:dyDescent="0.15">
      <c r="A931" t="s">
        <v>122</v>
      </c>
      <c r="B931" t="s">
        <v>13177</v>
      </c>
      <c r="C931" t="s">
        <v>74</v>
      </c>
      <c r="D931" t="s">
        <v>74</v>
      </c>
      <c r="E931" t="s">
        <v>74</v>
      </c>
      <c r="F931" t="s">
        <v>13177</v>
      </c>
      <c r="G931" t="s">
        <v>74</v>
      </c>
      <c r="H931" t="s">
        <v>74</v>
      </c>
      <c r="I931" t="s">
        <v>13178</v>
      </c>
      <c r="J931" t="s">
        <v>475</v>
      </c>
      <c r="K931" t="s">
        <v>74</v>
      </c>
      <c r="L931" t="s">
        <v>74</v>
      </c>
      <c r="M931" t="s">
        <v>79</v>
      </c>
      <c r="N931" t="s">
        <v>126</v>
      </c>
      <c r="O931" t="s">
        <v>74</v>
      </c>
      <c r="P931" t="s">
        <v>74</v>
      </c>
      <c r="Q931" t="s">
        <v>74</v>
      </c>
      <c r="R931" t="s">
        <v>74</v>
      </c>
      <c r="S931" t="s">
        <v>74</v>
      </c>
      <c r="T931" t="s">
        <v>13179</v>
      </c>
      <c r="U931" t="s">
        <v>13180</v>
      </c>
      <c r="V931" t="s">
        <v>13181</v>
      </c>
      <c r="W931" t="s">
        <v>13182</v>
      </c>
      <c r="X931" t="s">
        <v>13183</v>
      </c>
      <c r="Y931" t="s">
        <v>13184</v>
      </c>
      <c r="Z931" t="s">
        <v>13185</v>
      </c>
      <c r="AA931" t="s">
        <v>13186</v>
      </c>
      <c r="AB931" t="s">
        <v>13187</v>
      </c>
      <c r="AC931" t="s">
        <v>74</v>
      </c>
      <c r="AD931" t="s">
        <v>74</v>
      </c>
      <c r="AE931" t="s">
        <v>74</v>
      </c>
      <c r="AF931" t="s">
        <v>74</v>
      </c>
      <c r="AG931">
        <v>77</v>
      </c>
      <c r="AH931">
        <v>45</v>
      </c>
      <c r="AI931">
        <v>45</v>
      </c>
      <c r="AJ931">
        <v>0</v>
      </c>
      <c r="AK931">
        <v>4</v>
      </c>
      <c r="AL931" t="s">
        <v>239</v>
      </c>
      <c r="AM931" t="s">
        <v>240</v>
      </c>
      <c r="AN931" t="s">
        <v>241</v>
      </c>
      <c r="AO931" t="s">
        <v>484</v>
      </c>
      <c r="AP931" t="s">
        <v>485</v>
      </c>
      <c r="AQ931" t="s">
        <v>74</v>
      </c>
      <c r="AR931" t="s">
        <v>486</v>
      </c>
      <c r="AS931" t="s">
        <v>487</v>
      </c>
      <c r="AT931" t="s">
        <v>13188</v>
      </c>
      <c r="AU931">
        <v>2004</v>
      </c>
      <c r="AV931">
        <v>109</v>
      </c>
      <c r="AW931" t="s">
        <v>13189</v>
      </c>
      <c r="AX931" t="s">
        <v>74</v>
      </c>
      <c r="AY931" t="s">
        <v>74</v>
      </c>
      <c r="AZ931" t="s">
        <v>74</v>
      </c>
      <c r="BA931" t="s">
        <v>74</v>
      </c>
      <c r="BB931" t="s">
        <v>74</v>
      </c>
      <c r="BC931" t="s">
        <v>74</v>
      </c>
      <c r="BD931" t="s">
        <v>13190</v>
      </c>
      <c r="BE931" t="s">
        <v>13191</v>
      </c>
      <c r="BF931" t="str">
        <f>HYPERLINK("http://dx.doi.org/10.1029/2003JA010097","http://dx.doi.org/10.1029/2003JA010097")</f>
        <v>http://dx.doi.org/10.1029/2003JA010097</v>
      </c>
      <c r="BG931" t="s">
        <v>74</v>
      </c>
      <c r="BH931" t="s">
        <v>74</v>
      </c>
      <c r="BI931">
        <v>17</v>
      </c>
      <c r="BJ931" t="s">
        <v>491</v>
      </c>
      <c r="BK931" t="s">
        <v>139</v>
      </c>
      <c r="BL931" t="s">
        <v>491</v>
      </c>
      <c r="BM931" t="s">
        <v>13192</v>
      </c>
      <c r="BN931" t="s">
        <v>74</v>
      </c>
      <c r="BO931" t="s">
        <v>9547</v>
      </c>
      <c r="BP931" t="s">
        <v>74</v>
      </c>
      <c r="BQ931" t="s">
        <v>74</v>
      </c>
      <c r="BR931" t="s">
        <v>98</v>
      </c>
      <c r="BS931" t="s">
        <v>13193</v>
      </c>
      <c r="BT931" t="str">
        <f>HYPERLINK("https%3A%2F%2Fwww.webofscience.com%2Fwos%2Fwoscc%2Ffull-record%2FWOS:000221087700001","View Full Record in Web of Science")</f>
        <v>View Full Record in Web of Science</v>
      </c>
    </row>
    <row r="932" spans="1:72" x14ac:dyDescent="0.15">
      <c r="A932" t="s">
        <v>122</v>
      </c>
      <c r="B932" t="s">
        <v>13194</v>
      </c>
      <c r="C932" t="s">
        <v>74</v>
      </c>
      <c r="D932" t="s">
        <v>74</v>
      </c>
      <c r="E932" t="s">
        <v>74</v>
      </c>
      <c r="F932" t="s">
        <v>13194</v>
      </c>
      <c r="G932" t="s">
        <v>74</v>
      </c>
      <c r="H932" t="s">
        <v>74</v>
      </c>
      <c r="I932" t="s">
        <v>13195</v>
      </c>
      <c r="J932" t="s">
        <v>643</v>
      </c>
      <c r="K932" t="s">
        <v>74</v>
      </c>
      <c r="L932" t="s">
        <v>74</v>
      </c>
      <c r="M932" t="s">
        <v>79</v>
      </c>
      <c r="N932" t="s">
        <v>126</v>
      </c>
      <c r="O932" t="s">
        <v>74</v>
      </c>
      <c r="P932" t="s">
        <v>74</v>
      </c>
      <c r="Q932" t="s">
        <v>74</v>
      </c>
      <c r="R932" t="s">
        <v>74</v>
      </c>
      <c r="S932" t="s">
        <v>74</v>
      </c>
      <c r="T932" t="s">
        <v>13196</v>
      </c>
      <c r="U932" t="s">
        <v>13197</v>
      </c>
      <c r="V932" t="s">
        <v>13198</v>
      </c>
      <c r="W932" t="s">
        <v>13199</v>
      </c>
      <c r="X932" t="s">
        <v>154</v>
      </c>
      <c r="Y932" t="s">
        <v>13200</v>
      </c>
      <c r="Z932" t="s">
        <v>13201</v>
      </c>
      <c r="AA932" t="s">
        <v>13202</v>
      </c>
      <c r="AB932" t="s">
        <v>13203</v>
      </c>
      <c r="AC932" t="s">
        <v>74</v>
      </c>
      <c r="AD932" t="s">
        <v>74</v>
      </c>
      <c r="AE932" t="s">
        <v>74</v>
      </c>
      <c r="AF932" t="s">
        <v>74</v>
      </c>
      <c r="AG932">
        <v>73</v>
      </c>
      <c r="AH932">
        <v>156</v>
      </c>
      <c r="AI932">
        <v>167</v>
      </c>
      <c r="AJ932">
        <v>1</v>
      </c>
      <c r="AK932">
        <v>26</v>
      </c>
      <c r="AL932" t="s">
        <v>239</v>
      </c>
      <c r="AM932" t="s">
        <v>240</v>
      </c>
      <c r="AN932" t="s">
        <v>241</v>
      </c>
      <c r="AO932" t="s">
        <v>653</v>
      </c>
      <c r="AP932" t="s">
        <v>654</v>
      </c>
      <c r="AQ932" t="s">
        <v>74</v>
      </c>
      <c r="AR932" t="s">
        <v>655</v>
      </c>
      <c r="AS932" t="s">
        <v>656</v>
      </c>
      <c r="AT932" t="s">
        <v>13204</v>
      </c>
      <c r="AU932">
        <v>2004</v>
      </c>
      <c r="AV932">
        <v>109</v>
      </c>
      <c r="AW932" t="s">
        <v>13159</v>
      </c>
      <c r="AX932" t="s">
        <v>74</v>
      </c>
      <c r="AY932" t="s">
        <v>74</v>
      </c>
      <c r="AZ932" t="s">
        <v>74</v>
      </c>
      <c r="BA932" t="s">
        <v>74</v>
      </c>
      <c r="BB932" t="s">
        <v>74</v>
      </c>
      <c r="BC932" t="s">
        <v>74</v>
      </c>
      <c r="BD932" t="s">
        <v>13205</v>
      </c>
      <c r="BE932" t="s">
        <v>13206</v>
      </c>
      <c r="BF932" t="str">
        <f>HYPERLINK("http://dx.doi.org/10.1029/2003JC001921","http://dx.doi.org/10.1029/2003JC001921")</f>
        <v>http://dx.doi.org/10.1029/2003JC001921</v>
      </c>
      <c r="BG932" t="s">
        <v>74</v>
      </c>
      <c r="BH932" t="s">
        <v>74</v>
      </c>
      <c r="BI932">
        <v>18</v>
      </c>
      <c r="BJ932" t="s">
        <v>660</v>
      </c>
      <c r="BK932" t="s">
        <v>139</v>
      </c>
      <c r="BL932" t="s">
        <v>660</v>
      </c>
      <c r="BM932" t="s">
        <v>13207</v>
      </c>
      <c r="BN932" t="s">
        <v>74</v>
      </c>
      <c r="BO932" t="s">
        <v>273</v>
      </c>
      <c r="BP932" t="s">
        <v>74</v>
      </c>
      <c r="BQ932" t="s">
        <v>74</v>
      </c>
      <c r="BR932" t="s">
        <v>98</v>
      </c>
      <c r="BS932" t="s">
        <v>13208</v>
      </c>
      <c r="BT932" t="str">
        <f>HYPERLINK("https%3A%2F%2Fwww.webofscience.com%2Fwos%2Fwoscc%2Ffull-record%2FWOS:000221086700002","View Full Record in Web of Science")</f>
        <v>View Full Record in Web of Science</v>
      </c>
    </row>
    <row r="933" spans="1:72" x14ac:dyDescent="0.15">
      <c r="A933" t="s">
        <v>122</v>
      </c>
      <c r="B933" t="s">
        <v>13209</v>
      </c>
      <c r="C933" t="s">
        <v>74</v>
      </c>
      <c r="D933" t="s">
        <v>74</v>
      </c>
      <c r="E933" t="s">
        <v>74</v>
      </c>
      <c r="F933" t="s">
        <v>13209</v>
      </c>
      <c r="G933" t="s">
        <v>74</v>
      </c>
      <c r="H933" t="s">
        <v>74</v>
      </c>
      <c r="I933" t="s">
        <v>13210</v>
      </c>
      <c r="J933" t="s">
        <v>11667</v>
      </c>
      <c r="K933" t="s">
        <v>74</v>
      </c>
      <c r="L933" t="s">
        <v>74</v>
      </c>
      <c r="M933" t="s">
        <v>79</v>
      </c>
      <c r="N933" t="s">
        <v>126</v>
      </c>
      <c r="O933" t="s">
        <v>74</v>
      </c>
      <c r="P933" t="s">
        <v>74</v>
      </c>
      <c r="Q933" t="s">
        <v>74</v>
      </c>
      <c r="R933" t="s">
        <v>74</v>
      </c>
      <c r="S933" t="s">
        <v>74</v>
      </c>
      <c r="T933" t="s">
        <v>13211</v>
      </c>
      <c r="U933" t="s">
        <v>13212</v>
      </c>
      <c r="V933" t="s">
        <v>13213</v>
      </c>
      <c r="W933" t="s">
        <v>13214</v>
      </c>
      <c r="X933" t="s">
        <v>13215</v>
      </c>
      <c r="Y933" t="s">
        <v>13216</v>
      </c>
      <c r="Z933" t="s">
        <v>13217</v>
      </c>
      <c r="AA933" t="s">
        <v>13218</v>
      </c>
      <c r="AB933" t="s">
        <v>13219</v>
      </c>
      <c r="AC933" t="s">
        <v>74</v>
      </c>
      <c r="AD933" t="s">
        <v>74</v>
      </c>
      <c r="AE933" t="s">
        <v>74</v>
      </c>
      <c r="AF933" t="s">
        <v>74</v>
      </c>
      <c r="AG933">
        <v>19</v>
      </c>
      <c r="AH933">
        <v>13</v>
      </c>
      <c r="AI933">
        <v>14</v>
      </c>
      <c r="AJ933">
        <v>0</v>
      </c>
      <c r="AK933">
        <v>3</v>
      </c>
      <c r="AL933" t="s">
        <v>562</v>
      </c>
      <c r="AM933" t="s">
        <v>532</v>
      </c>
      <c r="AN933" t="s">
        <v>563</v>
      </c>
      <c r="AO933" t="s">
        <v>11677</v>
      </c>
      <c r="AP933" t="s">
        <v>11678</v>
      </c>
      <c r="AQ933" t="s">
        <v>74</v>
      </c>
      <c r="AR933" t="s">
        <v>11679</v>
      </c>
      <c r="AS933" t="s">
        <v>11680</v>
      </c>
      <c r="AT933" t="s">
        <v>13204</v>
      </c>
      <c r="AU933">
        <v>2004</v>
      </c>
      <c r="AV933">
        <v>522</v>
      </c>
      <c r="AW933">
        <v>3</v>
      </c>
      <c r="AX933" t="s">
        <v>74</v>
      </c>
      <c r="AY933" t="s">
        <v>74</v>
      </c>
      <c r="AZ933" t="s">
        <v>74</v>
      </c>
      <c r="BA933" t="s">
        <v>74</v>
      </c>
      <c r="BB933">
        <v>347</v>
      </c>
      <c r="BC933">
        <v>359</v>
      </c>
      <c r="BD933" t="s">
        <v>74</v>
      </c>
      <c r="BE933" t="s">
        <v>13220</v>
      </c>
      <c r="BF933" t="str">
        <f>HYPERLINK("http://dx.doi.org/10.1016/j.nima.2003.12.007","http://dx.doi.org/10.1016/j.nima.2003.12.007")</f>
        <v>http://dx.doi.org/10.1016/j.nima.2003.12.007</v>
      </c>
      <c r="BG933" t="s">
        <v>74</v>
      </c>
      <c r="BH933" t="s">
        <v>74</v>
      </c>
      <c r="BI933">
        <v>13</v>
      </c>
      <c r="BJ933" t="s">
        <v>11684</v>
      </c>
      <c r="BK933" t="s">
        <v>139</v>
      </c>
      <c r="BL933" t="s">
        <v>8111</v>
      </c>
      <c r="BM933" t="s">
        <v>13221</v>
      </c>
      <c r="BN933" t="s">
        <v>74</v>
      </c>
      <c r="BO933" t="s">
        <v>988</v>
      </c>
      <c r="BP933" t="s">
        <v>74</v>
      </c>
      <c r="BQ933" t="s">
        <v>74</v>
      </c>
      <c r="BR933" t="s">
        <v>98</v>
      </c>
      <c r="BS933" t="s">
        <v>13222</v>
      </c>
      <c r="BT933" t="str">
        <f>HYPERLINK("https%3A%2F%2Fwww.webofscience.com%2Fwos%2Fwoscc%2Ffull-record%2FWOS:000221098300012","View Full Record in Web of Science")</f>
        <v>View Full Record in Web of Science</v>
      </c>
    </row>
    <row r="934" spans="1:72" x14ac:dyDescent="0.15">
      <c r="A934" t="s">
        <v>122</v>
      </c>
      <c r="B934" t="s">
        <v>13223</v>
      </c>
      <c r="C934" t="s">
        <v>74</v>
      </c>
      <c r="D934" t="s">
        <v>74</v>
      </c>
      <c r="E934" t="s">
        <v>74</v>
      </c>
      <c r="F934" t="s">
        <v>13223</v>
      </c>
      <c r="G934" t="s">
        <v>74</v>
      </c>
      <c r="H934" t="s">
        <v>74</v>
      </c>
      <c r="I934" t="s">
        <v>13224</v>
      </c>
      <c r="J934" t="s">
        <v>230</v>
      </c>
      <c r="K934" t="s">
        <v>74</v>
      </c>
      <c r="L934" t="s">
        <v>74</v>
      </c>
      <c r="M934" t="s">
        <v>79</v>
      </c>
      <c r="N934" t="s">
        <v>126</v>
      </c>
      <c r="O934" t="s">
        <v>74</v>
      </c>
      <c r="P934" t="s">
        <v>74</v>
      </c>
      <c r="Q934" t="s">
        <v>74</v>
      </c>
      <c r="R934" t="s">
        <v>74</v>
      </c>
      <c r="S934" t="s">
        <v>74</v>
      </c>
      <c r="T934" t="s">
        <v>74</v>
      </c>
      <c r="U934" t="s">
        <v>13225</v>
      </c>
      <c r="V934" t="s">
        <v>13226</v>
      </c>
      <c r="W934" t="s">
        <v>13227</v>
      </c>
      <c r="X934" t="s">
        <v>548</v>
      </c>
      <c r="Y934" t="s">
        <v>13228</v>
      </c>
      <c r="Z934" t="s">
        <v>13229</v>
      </c>
      <c r="AA934" t="s">
        <v>13230</v>
      </c>
      <c r="AB934" t="s">
        <v>13231</v>
      </c>
      <c r="AC934" t="s">
        <v>74</v>
      </c>
      <c r="AD934" t="s">
        <v>74</v>
      </c>
      <c r="AE934" t="s">
        <v>74</v>
      </c>
      <c r="AF934" t="s">
        <v>74</v>
      </c>
      <c r="AG934">
        <v>15</v>
      </c>
      <c r="AH934">
        <v>23</v>
      </c>
      <c r="AI934">
        <v>24</v>
      </c>
      <c r="AJ934">
        <v>0</v>
      </c>
      <c r="AK934">
        <v>5</v>
      </c>
      <c r="AL934" t="s">
        <v>239</v>
      </c>
      <c r="AM934" t="s">
        <v>240</v>
      </c>
      <c r="AN934" t="s">
        <v>241</v>
      </c>
      <c r="AO934" t="s">
        <v>242</v>
      </c>
      <c r="AP934" t="s">
        <v>341</v>
      </c>
      <c r="AQ934" t="s">
        <v>74</v>
      </c>
      <c r="AR934" t="s">
        <v>243</v>
      </c>
      <c r="AS934" t="s">
        <v>244</v>
      </c>
      <c r="AT934" t="s">
        <v>13232</v>
      </c>
      <c r="AU934">
        <v>2004</v>
      </c>
      <c r="AV934">
        <v>31</v>
      </c>
      <c r="AW934">
        <v>8</v>
      </c>
      <c r="AX934" t="s">
        <v>74</v>
      </c>
      <c r="AY934" t="s">
        <v>74</v>
      </c>
      <c r="AZ934" t="s">
        <v>74</v>
      </c>
      <c r="BA934" t="s">
        <v>74</v>
      </c>
      <c r="BB934" t="s">
        <v>74</v>
      </c>
      <c r="BC934" t="s">
        <v>74</v>
      </c>
      <c r="BD934" t="s">
        <v>13233</v>
      </c>
      <c r="BE934" t="s">
        <v>13234</v>
      </c>
      <c r="BF934" t="str">
        <f>HYPERLINK("http://dx.doi.org/10.1029/2003GL019186","http://dx.doi.org/10.1029/2003GL019186")</f>
        <v>http://dx.doi.org/10.1029/2003GL019186</v>
      </c>
      <c r="BG934" t="s">
        <v>74</v>
      </c>
      <c r="BH934" t="s">
        <v>74</v>
      </c>
      <c r="BI934">
        <v>4</v>
      </c>
      <c r="BJ934" t="s">
        <v>248</v>
      </c>
      <c r="BK934" t="s">
        <v>139</v>
      </c>
      <c r="BL934" t="s">
        <v>249</v>
      </c>
      <c r="BM934" t="s">
        <v>13235</v>
      </c>
      <c r="BN934" t="s">
        <v>74</v>
      </c>
      <c r="BO934" t="s">
        <v>771</v>
      </c>
      <c r="BP934" t="s">
        <v>74</v>
      </c>
      <c r="BQ934" t="s">
        <v>74</v>
      </c>
      <c r="BR934" t="s">
        <v>98</v>
      </c>
      <c r="BS934" t="s">
        <v>13236</v>
      </c>
      <c r="BT934" t="str">
        <f>HYPERLINK("https%3A%2F%2Fwww.webofscience.com%2Fwos%2Fwoscc%2Ffull-record%2FWOS:000221085600003","View Full Record in Web of Science")</f>
        <v>View Full Record in Web of Science</v>
      </c>
    </row>
    <row r="935" spans="1:72" x14ac:dyDescent="0.15">
      <c r="A935" t="s">
        <v>122</v>
      </c>
      <c r="B935" t="s">
        <v>13237</v>
      </c>
      <c r="C935" t="s">
        <v>74</v>
      </c>
      <c r="D935" t="s">
        <v>74</v>
      </c>
      <c r="E935" t="s">
        <v>74</v>
      </c>
      <c r="F935" t="s">
        <v>13237</v>
      </c>
      <c r="G935" t="s">
        <v>74</v>
      </c>
      <c r="H935" t="s">
        <v>74</v>
      </c>
      <c r="I935" t="s">
        <v>13238</v>
      </c>
      <c r="J935" t="s">
        <v>643</v>
      </c>
      <c r="K935" t="s">
        <v>74</v>
      </c>
      <c r="L935" t="s">
        <v>74</v>
      </c>
      <c r="M935" t="s">
        <v>79</v>
      </c>
      <c r="N935" t="s">
        <v>126</v>
      </c>
      <c r="O935" t="s">
        <v>74</v>
      </c>
      <c r="P935" t="s">
        <v>74</v>
      </c>
      <c r="Q935" t="s">
        <v>74</v>
      </c>
      <c r="R935" t="s">
        <v>74</v>
      </c>
      <c r="S935" t="s">
        <v>74</v>
      </c>
      <c r="T935" t="s">
        <v>13239</v>
      </c>
      <c r="U935" t="s">
        <v>13240</v>
      </c>
      <c r="V935" t="s">
        <v>13241</v>
      </c>
      <c r="W935" t="s">
        <v>13242</v>
      </c>
      <c r="X935" t="s">
        <v>648</v>
      </c>
      <c r="Y935" t="s">
        <v>502</v>
      </c>
      <c r="Z935" t="s">
        <v>650</v>
      </c>
      <c r="AA935" t="s">
        <v>74</v>
      </c>
      <c r="AB935" t="s">
        <v>13243</v>
      </c>
      <c r="AC935" t="s">
        <v>74</v>
      </c>
      <c r="AD935" t="s">
        <v>74</v>
      </c>
      <c r="AE935" t="s">
        <v>74</v>
      </c>
      <c r="AF935" t="s">
        <v>74</v>
      </c>
      <c r="AG935">
        <v>22</v>
      </c>
      <c r="AH935">
        <v>45</v>
      </c>
      <c r="AI935">
        <v>45</v>
      </c>
      <c r="AJ935">
        <v>1</v>
      </c>
      <c r="AK935">
        <v>4</v>
      </c>
      <c r="AL935" t="s">
        <v>239</v>
      </c>
      <c r="AM935" t="s">
        <v>240</v>
      </c>
      <c r="AN935" t="s">
        <v>241</v>
      </c>
      <c r="AO935" t="s">
        <v>653</v>
      </c>
      <c r="AP935" t="s">
        <v>654</v>
      </c>
      <c r="AQ935" t="s">
        <v>74</v>
      </c>
      <c r="AR935" t="s">
        <v>655</v>
      </c>
      <c r="AS935" t="s">
        <v>656</v>
      </c>
      <c r="AT935" t="s">
        <v>13232</v>
      </c>
      <c r="AU935">
        <v>2004</v>
      </c>
      <c r="AV935">
        <v>109</v>
      </c>
      <c r="AW935" t="s">
        <v>13159</v>
      </c>
      <c r="AX935" t="s">
        <v>74</v>
      </c>
      <c r="AY935" t="s">
        <v>74</v>
      </c>
      <c r="AZ935" t="s">
        <v>74</v>
      </c>
      <c r="BA935" t="s">
        <v>74</v>
      </c>
      <c r="BB935" t="s">
        <v>74</v>
      </c>
      <c r="BC935" t="s">
        <v>74</v>
      </c>
      <c r="BD935" t="s">
        <v>13244</v>
      </c>
      <c r="BE935" t="s">
        <v>13245</v>
      </c>
      <c r="BF935" t="str">
        <f>HYPERLINK("http://dx.doi.org/10.1029/2003JC002149","http://dx.doi.org/10.1029/2003JC002149")</f>
        <v>http://dx.doi.org/10.1029/2003JC002149</v>
      </c>
      <c r="BG935" t="s">
        <v>74</v>
      </c>
      <c r="BH935" t="s">
        <v>74</v>
      </c>
      <c r="BI935">
        <v>9</v>
      </c>
      <c r="BJ935" t="s">
        <v>660</v>
      </c>
      <c r="BK935" t="s">
        <v>139</v>
      </c>
      <c r="BL935" t="s">
        <v>660</v>
      </c>
      <c r="BM935" t="s">
        <v>13246</v>
      </c>
      <c r="BN935" t="s">
        <v>74</v>
      </c>
      <c r="BO935" t="s">
        <v>273</v>
      </c>
      <c r="BP935" t="s">
        <v>74</v>
      </c>
      <c r="BQ935" t="s">
        <v>74</v>
      </c>
      <c r="BR935" t="s">
        <v>98</v>
      </c>
      <c r="BS935" t="s">
        <v>13247</v>
      </c>
      <c r="BT935" t="str">
        <f>HYPERLINK("https%3A%2F%2Fwww.webofscience.com%2Fwos%2Fwoscc%2Ffull-record%2FWOS:000221086600003","View Full Record in Web of Science")</f>
        <v>View Full Record in Web of Science</v>
      </c>
    </row>
    <row r="936" spans="1:72" x14ac:dyDescent="0.15">
      <c r="A936" t="s">
        <v>122</v>
      </c>
      <c r="B936" t="s">
        <v>13248</v>
      </c>
      <c r="C936" t="s">
        <v>74</v>
      </c>
      <c r="D936" t="s">
        <v>74</v>
      </c>
      <c r="E936" t="s">
        <v>74</v>
      </c>
      <c r="F936" t="s">
        <v>13248</v>
      </c>
      <c r="G936" t="s">
        <v>74</v>
      </c>
      <c r="H936" t="s">
        <v>74</v>
      </c>
      <c r="I936" t="s">
        <v>13249</v>
      </c>
      <c r="J936" t="s">
        <v>277</v>
      </c>
      <c r="K936" t="s">
        <v>74</v>
      </c>
      <c r="L936" t="s">
        <v>74</v>
      </c>
      <c r="M936" t="s">
        <v>79</v>
      </c>
      <c r="N936" t="s">
        <v>126</v>
      </c>
      <c r="O936" t="s">
        <v>74</v>
      </c>
      <c r="P936" t="s">
        <v>74</v>
      </c>
      <c r="Q936" t="s">
        <v>74</v>
      </c>
      <c r="R936" t="s">
        <v>74</v>
      </c>
      <c r="S936" t="s">
        <v>74</v>
      </c>
      <c r="T936" t="s">
        <v>13250</v>
      </c>
      <c r="U936" t="s">
        <v>13251</v>
      </c>
      <c r="V936" t="s">
        <v>13252</v>
      </c>
      <c r="W936" t="s">
        <v>13253</v>
      </c>
      <c r="X936" t="s">
        <v>13254</v>
      </c>
      <c r="Y936" t="s">
        <v>13255</v>
      </c>
      <c r="Z936" t="s">
        <v>9014</v>
      </c>
      <c r="AA936" t="s">
        <v>13256</v>
      </c>
      <c r="AB936" t="s">
        <v>13257</v>
      </c>
      <c r="AC936" t="s">
        <v>74</v>
      </c>
      <c r="AD936" t="s">
        <v>74</v>
      </c>
      <c r="AE936" t="s">
        <v>74</v>
      </c>
      <c r="AF936" t="s">
        <v>74</v>
      </c>
      <c r="AG936">
        <v>36</v>
      </c>
      <c r="AH936">
        <v>34</v>
      </c>
      <c r="AI936">
        <v>36</v>
      </c>
      <c r="AJ936">
        <v>1</v>
      </c>
      <c r="AK936">
        <v>24</v>
      </c>
      <c r="AL936" t="s">
        <v>239</v>
      </c>
      <c r="AM936" t="s">
        <v>240</v>
      </c>
      <c r="AN936" t="s">
        <v>241</v>
      </c>
      <c r="AO936" t="s">
        <v>284</v>
      </c>
      <c r="AP936" t="s">
        <v>74</v>
      </c>
      <c r="AQ936" t="s">
        <v>74</v>
      </c>
      <c r="AR936" t="s">
        <v>286</v>
      </c>
      <c r="AS936" t="s">
        <v>287</v>
      </c>
      <c r="AT936" t="s">
        <v>13258</v>
      </c>
      <c r="AU936">
        <v>2004</v>
      </c>
      <c r="AV936">
        <v>109</v>
      </c>
      <c r="AW936" t="s">
        <v>13142</v>
      </c>
      <c r="AX936" t="s">
        <v>74</v>
      </c>
      <c r="AY936" t="s">
        <v>74</v>
      </c>
      <c r="AZ936" t="s">
        <v>74</v>
      </c>
      <c r="BA936" t="s">
        <v>74</v>
      </c>
      <c r="BB936" t="s">
        <v>74</v>
      </c>
      <c r="BC936" t="s">
        <v>74</v>
      </c>
      <c r="BD936" t="s">
        <v>13259</v>
      </c>
      <c r="BE936" t="s">
        <v>13260</v>
      </c>
      <c r="BF936" t="str">
        <f>HYPERLINK("http://dx.doi.org/10.1029/2003JD004180","http://dx.doi.org/10.1029/2003JD004180")</f>
        <v>http://dx.doi.org/10.1029/2003JD004180</v>
      </c>
      <c r="BG936" t="s">
        <v>74</v>
      </c>
      <c r="BH936" t="s">
        <v>74</v>
      </c>
      <c r="BI936">
        <v>10</v>
      </c>
      <c r="BJ936" t="s">
        <v>291</v>
      </c>
      <c r="BK936" t="s">
        <v>139</v>
      </c>
      <c r="BL936" t="s">
        <v>291</v>
      </c>
      <c r="BM936" t="s">
        <v>13261</v>
      </c>
      <c r="BN936" t="s">
        <v>74</v>
      </c>
      <c r="BO936" t="s">
        <v>329</v>
      </c>
      <c r="BP936" t="s">
        <v>74</v>
      </c>
      <c r="BQ936" t="s">
        <v>74</v>
      </c>
      <c r="BR936" t="s">
        <v>98</v>
      </c>
      <c r="BS936" t="s">
        <v>13262</v>
      </c>
      <c r="BT936" t="str">
        <f>HYPERLINK("https%3A%2F%2Fwww.webofscience.com%2Fwos%2Fwoscc%2Ffull-record%2FWOS:000221077100001","View Full Record in Web of Science")</f>
        <v>View Full Record in Web of Science</v>
      </c>
    </row>
    <row r="937" spans="1:72" x14ac:dyDescent="0.15">
      <c r="A937" t="s">
        <v>122</v>
      </c>
      <c r="B937" t="s">
        <v>13263</v>
      </c>
      <c r="C937" t="s">
        <v>74</v>
      </c>
      <c r="D937" t="s">
        <v>74</v>
      </c>
      <c r="E937" t="s">
        <v>74</v>
      </c>
      <c r="F937" t="s">
        <v>13263</v>
      </c>
      <c r="G937" t="s">
        <v>74</v>
      </c>
      <c r="H937" t="s">
        <v>74</v>
      </c>
      <c r="I937" t="s">
        <v>13264</v>
      </c>
      <c r="J937" t="s">
        <v>522</v>
      </c>
      <c r="K937" t="s">
        <v>74</v>
      </c>
      <c r="L937" t="s">
        <v>74</v>
      </c>
      <c r="M937" t="s">
        <v>79</v>
      </c>
      <c r="N937" t="s">
        <v>126</v>
      </c>
      <c r="O937" t="s">
        <v>74</v>
      </c>
      <c r="P937" t="s">
        <v>74</v>
      </c>
      <c r="Q937" t="s">
        <v>74</v>
      </c>
      <c r="R937" t="s">
        <v>74</v>
      </c>
      <c r="S937" t="s">
        <v>74</v>
      </c>
      <c r="T937" t="s">
        <v>13265</v>
      </c>
      <c r="U937" t="s">
        <v>13266</v>
      </c>
      <c r="V937" t="s">
        <v>13267</v>
      </c>
      <c r="W937" t="s">
        <v>13268</v>
      </c>
      <c r="X937" t="s">
        <v>13269</v>
      </c>
      <c r="Y937" t="s">
        <v>13270</v>
      </c>
      <c r="Z937" t="s">
        <v>13271</v>
      </c>
      <c r="AA937" t="s">
        <v>9003</v>
      </c>
      <c r="AB937" t="s">
        <v>467</v>
      </c>
      <c r="AC937" t="s">
        <v>74</v>
      </c>
      <c r="AD937" t="s">
        <v>74</v>
      </c>
      <c r="AE937" t="s">
        <v>74</v>
      </c>
      <c r="AF937" t="s">
        <v>74</v>
      </c>
      <c r="AG937">
        <v>42</v>
      </c>
      <c r="AH937">
        <v>104</v>
      </c>
      <c r="AI937">
        <v>117</v>
      </c>
      <c r="AJ937">
        <v>1</v>
      </c>
      <c r="AK937">
        <v>16</v>
      </c>
      <c r="AL937" t="s">
        <v>562</v>
      </c>
      <c r="AM937" t="s">
        <v>532</v>
      </c>
      <c r="AN937" t="s">
        <v>563</v>
      </c>
      <c r="AO937" t="s">
        <v>534</v>
      </c>
      <c r="AP937" t="s">
        <v>535</v>
      </c>
      <c r="AQ937" t="s">
        <v>74</v>
      </c>
      <c r="AR937" t="s">
        <v>536</v>
      </c>
      <c r="AS937" t="s">
        <v>537</v>
      </c>
      <c r="AT937" t="s">
        <v>13272</v>
      </c>
      <c r="AU937">
        <v>2004</v>
      </c>
      <c r="AV937">
        <v>220</v>
      </c>
      <c r="AW937" t="s">
        <v>538</v>
      </c>
      <c r="AX937" t="s">
        <v>74</v>
      </c>
      <c r="AY937" t="s">
        <v>74</v>
      </c>
      <c r="AZ937" t="s">
        <v>74</v>
      </c>
      <c r="BA937" t="s">
        <v>74</v>
      </c>
      <c r="BB937">
        <v>391</v>
      </c>
      <c r="BC937">
        <v>408</v>
      </c>
      <c r="BD937" t="s">
        <v>74</v>
      </c>
      <c r="BE937" t="s">
        <v>13273</v>
      </c>
      <c r="BF937" t="str">
        <f>HYPERLINK("http://dx.doi.org/10.1016/S0012-821X(04)00066-4","http://dx.doi.org/10.1016/S0012-821X(04)00066-4")</f>
        <v>http://dx.doi.org/10.1016/S0012-821X(04)00066-4</v>
      </c>
      <c r="BG937" t="s">
        <v>74</v>
      </c>
      <c r="BH937" t="s">
        <v>74</v>
      </c>
      <c r="BI937">
        <v>18</v>
      </c>
      <c r="BJ937" t="s">
        <v>271</v>
      </c>
      <c r="BK937" t="s">
        <v>139</v>
      </c>
      <c r="BL937" t="s">
        <v>271</v>
      </c>
      <c r="BM937" t="s">
        <v>13274</v>
      </c>
      <c r="BN937" t="s">
        <v>74</v>
      </c>
      <c r="BO937" t="s">
        <v>74</v>
      </c>
      <c r="BP937" t="s">
        <v>74</v>
      </c>
      <c r="BQ937" t="s">
        <v>74</v>
      </c>
      <c r="BR937" t="s">
        <v>98</v>
      </c>
      <c r="BS937" t="s">
        <v>13275</v>
      </c>
      <c r="BT937" t="str">
        <f>HYPERLINK("https%3A%2F%2Fwww.webofscience.com%2Fwos%2Fwoscc%2Ffull-record%2FWOS:000220807900012","View Full Record in Web of Science")</f>
        <v>View Full Record in Web of Science</v>
      </c>
    </row>
    <row r="938" spans="1:72" x14ac:dyDescent="0.15">
      <c r="A938" t="s">
        <v>122</v>
      </c>
      <c r="B938" t="s">
        <v>13276</v>
      </c>
      <c r="C938" t="s">
        <v>74</v>
      </c>
      <c r="D938" t="s">
        <v>74</v>
      </c>
      <c r="E938" t="s">
        <v>74</v>
      </c>
      <c r="F938" t="s">
        <v>13276</v>
      </c>
      <c r="G938" t="s">
        <v>74</v>
      </c>
      <c r="H938" t="s">
        <v>74</v>
      </c>
      <c r="I938" t="s">
        <v>13277</v>
      </c>
      <c r="J938" t="s">
        <v>13278</v>
      </c>
      <c r="K938" t="s">
        <v>74</v>
      </c>
      <c r="L938" t="s">
        <v>74</v>
      </c>
      <c r="M938" t="s">
        <v>79</v>
      </c>
      <c r="N938" t="s">
        <v>126</v>
      </c>
      <c r="O938" t="s">
        <v>74</v>
      </c>
      <c r="P938" t="s">
        <v>74</v>
      </c>
      <c r="Q938" t="s">
        <v>74</v>
      </c>
      <c r="R938" t="s">
        <v>74</v>
      </c>
      <c r="S938" t="s">
        <v>74</v>
      </c>
      <c r="T938" t="s">
        <v>13279</v>
      </c>
      <c r="U938" t="s">
        <v>13280</v>
      </c>
      <c r="V938" t="s">
        <v>13281</v>
      </c>
      <c r="W938" t="s">
        <v>13282</v>
      </c>
      <c r="X938" t="s">
        <v>13283</v>
      </c>
      <c r="Y938" t="s">
        <v>13284</v>
      </c>
      <c r="Z938" t="s">
        <v>13285</v>
      </c>
      <c r="AA938" t="s">
        <v>13286</v>
      </c>
      <c r="AB938" t="s">
        <v>13287</v>
      </c>
      <c r="AC938" t="s">
        <v>74</v>
      </c>
      <c r="AD938" t="s">
        <v>74</v>
      </c>
      <c r="AE938" t="s">
        <v>74</v>
      </c>
      <c r="AF938" t="s">
        <v>74</v>
      </c>
      <c r="AG938">
        <v>20</v>
      </c>
      <c r="AH938">
        <v>11</v>
      </c>
      <c r="AI938">
        <v>14</v>
      </c>
      <c r="AJ938">
        <v>0</v>
      </c>
      <c r="AK938">
        <v>9</v>
      </c>
      <c r="AL938" t="s">
        <v>562</v>
      </c>
      <c r="AM938" t="s">
        <v>532</v>
      </c>
      <c r="AN938" t="s">
        <v>563</v>
      </c>
      <c r="AO938" t="s">
        <v>13288</v>
      </c>
      <c r="AP938" t="s">
        <v>74</v>
      </c>
      <c r="AQ938" t="s">
        <v>74</v>
      </c>
      <c r="AR938" t="s">
        <v>13289</v>
      </c>
      <c r="AS938" t="s">
        <v>13290</v>
      </c>
      <c r="AT938" t="s">
        <v>13272</v>
      </c>
      <c r="AU938">
        <v>2004</v>
      </c>
      <c r="AV938">
        <v>265</v>
      </c>
      <c r="AW938" t="s">
        <v>2537</v>
      </c>
      <c r="AX938" t="s">
        <v>74</v>
      </c>
      <c r="AY938" t="s">
        <v>74</v>
      </c>
      <c r="AZ938" t="s">
        <v>74</v>
      </c>
      <c r="BA938" t="s">
        <v>74</v>
      </c>
      <c r="BB938">
        <v>309</v>
      </c>
      <c r="BC938">
        <v>317</v>
      </c>
      <c r="BD938" t="s">
        <v>74</v>
      </c>
      <c r="BE938" t="s">
        <v>13291</v>
      </c>
      <c r="BF938" t="str">
        <f>HYPERLINK("http://dx.doi.org/10.1016/j.jcrysgro.2004.01.040","http://dx.doi.org/10.1016/j.jcrysgro.2004.01.040")</f>
        <v>http://dx.doi.org/10.1016/j.jcrysgro.2004.01.040</v>
      </c>
      <c r="BG938" t="s">
        <v>74</v>
      </c>
      <c r="BH938" t="s">
        <v>74</v>
      </c>
      <c r="BI938">
        <v>9</v>
      </c>
      <c r="BJ938" t="s">
        <v>13292</v>
      </c>
      <c r="BK938" t="s">
        <v>139</v>
      </c>
      <c r="BL938" t="s">
        <v>13293</v>
      </c>
      <c r="BM938" t="s">
        <v>13294</v>
      </c>
      <c r="BN938" t="s">
        <v>74</v>
      </c>
      <c r="BO938" t="s">
        <v>74</v>
      </c>
      <c r="BP938" t="s">
        <v>74</v>
      </c>
      <c r="BQ938" t="s">
        <v>74</v>
      </c>
      <c r="BR938" t="s">
        <v>98</v>
      </c>
      <c r="BS938" t="s">
        <v>13295</v>
      </c>
      <c r="BT938" t="str">
        <f>HYPERLINK("https%3A%2F%2Fwww.webofscience.com%2Fwos%2Fwoscc%2Ffull-record%2FWOS:000220937000047","View Full Record in Web of Science")</f>
        <v>View Full Record in Web of Science</v>
      </c>
    </row>
    <row r="939" spans="1:72" x14ac:dyDescent="0.15">
      <c r="A939" t="s">
        <v>122</v>
      </c>
      <c r="B939" t="s">
        <v>13296</v>
      </c>
      <c r="C939" t="s">
        <v>74</v>
      </c>
      <c r="D939" t="s">
        <v>74</v>
      </c>
      <c r="E939" t="s">
        <v>74</v>
      </c>
      <c r="F939" t="s">
        <v>13296</v>
      </c>
      <c r="G939" t="s">
        <v>74</v>
      </c>
      <c r="H939" t="s">
        <v>74</v>
      </c>
      <c r="I939" t="s">
        <v>13297</v>
      </c>
      <c r="J939" t="s">
        <v>13298</v>
      </c>
      <c r="K939" t="s">
        <v>74</v>
      </c>
      <c r="L939" t="s">
        <v>74</v>
      </c>
      <c r="M939" t="s">
        <v>79</v>
      </c>
      <c r="N939" t="s">
        <v>126</v>
      </c>
      <c r="O939" t="s">
        <v>74</v>
      </c>
      <c r="P939" t="s">
        <v>74</v>
      </c>
      <c r="Q939" t="s">
        <v>74</v>
      </c>
      <c r="R939" t="s">
        <v>74</v>
      </c>
      <c r="S939" t="s">
        <v>74</v>
      </c>
      <c r="T939" t="s">
        <v>13299</v>
      </c>
      <c r="U939" t="s">
        <v>13300</v>
      </c>
      <c r="V939" t="s">
        <v>13301</v>
      </c>
      <c r="W939" t="s">
        <v>13302</v>
      </c>
      <c r="X939" t="s">
        <v>13303</v>
      </c>
      <c r="Y939" t="s">
        <v>13304</v>
      </c>
      <c r="Z939" t="s">
        <v>13305</v>
      </c>
      <c r="AA939" t="s">
        <v>74</v>
      </c>
      <c r="AB939" t="s">
        <v>13306</v>
      </c>
      <c r="AC939" t="s">
        <v>74</v>
      </c>
      <c r="AD939" t="s">
        <v>74</v>
      </c>
      <c r="AE939" t="s">
        <v>74</v>
      </c>
      <c r="AF939" t="s">
        <v>74</v>
      </c>
      <c r="AG939">
        <v>19</v>
      </c>
      <c r="AH939">
        <v>108</v>
      </c>
      <c r="AI939">
        <v>152</v>
      </c>
      <c r="AJ939">
        <v>0</v>
      </c>
      <c r="AK939">
        <v>18</v>
      </c>
      <c r="AL939" t="s">
        <v>562</v>
      </c>
      <c r="AM939" t="s">
        <v>532</v>
      </c>
      <c r="AN939" t="s">
        <v>563</v>
      </c>
      <c r="AO939" t="s">
        <v>13307</v>
      </c>
      <c r="AP939" t="s">
        <v>13308</v>
      </c>
      <c r="AQ939" t="s">
        <v>74</v>
      </c>
      <c r="AR939" t="s">
        <v>13309</v>
      </c>
      <c r="AS939" t="s">
        <v>13310</v>
      </c>
      <c r="AT939" t="s">
        <v>13272</v>
      </c>
      <c r="AU939">
        <v>2004</v>
      </c>
      <c r="AV939">
        <v>132</v>
      </c>
      <c r="AW939">
        <v>1</v>
      </c>
      <c r="AX939" t="s">
        <v>74</v>
      </c>
      <c r="AY939" t="s">
        <v>74</v>
      </c>
      <c r="AZ939" t="s">
        <v>74</v>
      </c>
      <c r="BA939" t="s">
        <v>74</v>
      </c>
      <c r="BB939">
        <v>31</v>
      </c>
      <c r="BC939">
        <v>43</v>
      </c>
      <c r="BD939" t="s">
        <v>74</v>
      </c>
      <c r="BE939" t="s">
        <v>13311</v>
      </c>
      <c r="BF939" t="str">
        <f>HYPERLINK("http://dx.doi.org/10.1016/s0377-0273(03)00419-0","http://dx.doi.org/10.1016/s0377-0273(03)00419-0")</f>
        <v>http://dx.doi.org/10.1016/s0377-0273(03)00419-0</v>
      </c>
      <c r="BG939" t="s">
        <v>74</v>
      </c>
      <c r="BH939" t="s">
        <v>74</v>
      </c>
      <c r="BI939">
        <v>13</v>
      </c>
      <c r="BJ939" t="s">
        <v>248</v>
      </c>
      <c r="BK939" t="s">
        <v>139</v>
      </c>
      <c r="BL939" t="s">
        <v>249</v>
      </c>
      <c r="BM939" t="s">
        <v>13312</v>
      </c>
      <c r="BN939" t="s">
        <v>74</v>
      </c>
      <c r="BO939" t="s">
        <v>329</v>
      </c>
      <c r="BP939" t="s">
        <v>74</v>
      </c>
      <c r="BQ939" t="s">
        <v>74</v>
      </c>
      <c r="BR939" t="s">
        <v>98</v>
      </c>
      <c r="BS939" t="s">
        <v>13313</v>
      </c>
      <c r="BT939" t="str">
        <f>HYPERLINK("https%3A%2F%2Fwww.webofscience.com%2Fwos%2Fwoscc%2Ffull-record%2FWOS:000220574700003","View Full Record in Web of Science")</f>
        <v>View Full Record in Web of Science</v>
      </c>
    </row>
    <row r="940" spans="1:72" x14ac:dyDescent="0.15">
      <c r="A940" t="s">
        <v>122</v>
      </c>
      <c r="B940" t="s">
        <v>13314</v>
      </c>
      <c r="C940" t="s">
        <v>74</v>
      </c>
      <c r="D940" t="s">
        <v>74</v>
      </c>
      <c r="E940" t="s">
        <v>74</v>
      </c>
      <c r="F940" t="s">
        <v>13314</v>
      </c>
      <c r="G940" t="s">
        <v>74</v>
      </c>
      <c r="H940" t="s">
        <v>74</v>
      </c>
      <c r="I940" t="s">
        <v>13315</v>
      </c>
      <c r="J940" t="s">
        <v>277</v>
      </c>
      <c r="K940" t="s">
        <v>74</v>
      </c>
      <c r="L940" t="s">
        <v>74</v>
      </c>
      <c r="M940" t="s">
        <v>79</v>
      </c>
      <c r="N940" t="s">
        <v>126</v>
      </c>
      <c r="O940" t="s">
        <v>74</v>
      </c>
      <c r="P940" t="s">
        <v>74</v>
      </c>
      <c r="Q940" t="s">
        <v>74</v>
      </c>
      <c r="R940" t="s">
        <v>74</v>
      </c>
      <c r="S940" t="s">
        <v>74</v>
      </c>
      <c r="T940" t="s">
        <v>13316</v>
      </c>
      <c r="U940" t="s">
        <v>13317</v>
      </c>
      <c r="V940" t="s">
        <v>13318</v>
      </c>
      <c r="W940" t="s">
        <v>13319</v>
      </c>
      <c r="X940" t="s">
        <v>13320</v>
      </c>
      <c r="Y940" t="s">
        <v>13321</v>
      </c>
      <c r="Z940" t="s">
        <v>13322</v>
      </c>
      <c r="AA940" t="s">
        <v>74</v>
      </c>
      <c r="AB940" t="s">
        <v>13323</v>
      </c>
      <c r="AC940" t="s">
        <v>74</v>
      </c>
      <c r="AD940" t="s">
        <v>74</v>
      </c>
      <c r="AE940" t="s">
        <v>74</v>
      </c>
      <c r="AF940" t="s">
        <v>74</v>
      </c>
      <c r="AG940">
        <v>72</v>
      </c>
      <c r="AH940">
        <v>74</v>
      </c>
      <c r="AI940">
        <v>76</v>
      </c>
      <c r="AJ940">
        <v>0</v>
      </c>
      <c r="AK940">
        <v>20</v>
      </c>
      <c r="AL940" t="s">
        <v>239</v>
      </c>
      <c r="AM940" t="s">
        <v>240</v>
      </c>
      <c r="AN940" t="s">
        <v>241</v>
      </c>
      <c r="AO940" t="s">
        <v>284</v>
      </c>
      <c r="AP940" t="s">
        <v>285</v>
      </c>
      <c r="AQ940" t="s">
        <v>74</v>
      </c>
      <c r="AR940" t="s">
        <v>286</v>
      </c>
      <c r="AS940" t="s">
        <v>287</v>
      </c>
      <c r="AT940" t="s">
        <v>13324</v>
      </c>
      <c r="AU940">
        <v>2004</v>
      </c>
      <c r="AV940">
        <v>109</v>
      </c>
      <c r="AW940" t="s">
        <v>13325</v>
      </c>
      <c r="AX940" t="s">
        <v>74</v>
      </c>
      <c r="AY940" t="s">
        <v>74</v>
      </c>
      <c r="AZ940" t="s">
        <v>74</v>
      </c>
      <c r="BA940" t="s">
        <v>74</v>
      </c>
      <c r="BB940" t="s">
        <v>74</v>
      </c>
      <c r="BC940" t="s">
        <v>74</v>
      </c>
      <c r="BD940" t="s">
        <v>13326</v>
      </c>
      <c r="BE940" t="s">
        <v>13327</v>
      </c>
      <c r="BF940" t="str">
        <f>HYPERLINK("http://dx.doi.org/10.1029/2003JD004228","http://dx.doi.org/10.1029/2003JD004228")</f>
        <v>http://dx.doi.org/10.1029/2003JD004228</v>
      </c>
      <c r="BG940" t="s">
        <v>74</v>
      </c>
      <c r="BH940" t="s">
        <v>74</v>
      </c>
      <c r="BI940">
        <v>13</v>
      </c>
      <c r="BJ940" t="s">
        <v>291</v>
      </c>
      <c r="BK940" t="s">
        <v>139</v>
      </c>
      <c r="BL940" t="s">
        <v>291</v>
      </c>
      <c r="BM940" t="s">
        <v>13328</v>
      </c>
      <c r="BN940" t="s">
        <v>74</v>
      </c>
      <c r="BO940" t="s">
        <v>273</v>
      </c>
      <c r="BP940" t="s">
        <v>74</v>
      </c>
      <c r="BQ940" t="s">
        <v>74</v>
      </c>
      <c r="BR940" t="s">
        <v>98</v>
      </c>
      <c r="BS940" t="s">
        <v>13329</v>
      </c>
      <c r="BT940" t="str">
        <f>HYPERLINK("https%3A%2F%2Fwww.webofscience.com%2Fwos%2Fwoscc%2Ffull-record%2FWOS:000221076800001","View Full Record in Web of Science")</f>
        <v>View Full Record in Web of Science</v>
      </c>
    </row>
    <row r="941" spans="1:72" x14ac:dyDescent="0.15">
      <c r="A941" t="s">
        <v>122</v>
      </c>
      <c r="B941" t="s">
        <v>13330</v>
      </c>
      <c r="C941" t="s">
        <v>74</v>
      </c>
      <c r="D941" t="s">
        <v>74</v>
      </c>
      <c r="E941" t="s">
        <v>74</v>
      </c>
      <c r="F941" t="s">
        <v>13330</v>
      </c>
      <c r="G941" t="s">
        <v>74</v>
      </c>
      <c r="H941" t="s">
        <v>74</v>
      </c>
      <c r="I941" t="s">
        <v>13331</v>
      </c>
      <c r="J941" t="s">
        <v>230</v>
      </c>
      <c r="K941" t="s">
        <v>74</v>
      </c>
      <c r="L941" t="s">
        <v>74</v>
      </c>
      <c r="M941" t="s">
        <v>79</v>
      </c>
      <c r="N941" t="s">
        <v>126</v>
      </c>
      <c r="O941" t="s">
        <v>74</v>
      </c>
      <c r="P941" t="s">
        <v>74</v>
      </c>
      <c r="Q941" t="s">
        <v>74</v>
      </c>
      <c r="R941" t="s">
        <v>74</v>
      </c>
      <c r="S941" t="s">
        <v>74</v>
      </c>
      <c r="T941" t="s">
        <v>13332</v>
      </c>
      <c r="U941" t="s">
        <v>13333</v>
      </c>
      <c r="V941" t="s">
        <v>13334</v>
      </c>
      <c r="W941" t="s">
        <v>13335</v>
      </c>
      <c r="X941" t="s">
        <v>13336</v>
      </c>
      <c r="Y941" t="s">
        <v>13337</v>
      </c>
      <c r="Z941" t="s">
        <v>13338</v>
      </c>
      <c r="AA941" t="s">
        <v>13339</v>
      </c>
      <c r="AB941" t="s">
        <v>8298</v>
      </c>
      <c r="AC941" t="s">
        <v>74</v>
      </c>
      <c r="AD941" t="s">
        <v>74</v>
      </c>
      <c r="AE941" t="s">
        <v>74</v>
      </c>
      <c r="AF941" t="s">
        <v>74</v>
      </c>
      <c r="AG941">
        <v>25</v>
      </c>
      <c r="AH941">
        <v>60</v>
      </c>
      <c r="AI941">
        <v>66</v>
      </c>
      <c r="AJ941">
        <v>1</v>
      </c>
      <c r="AK941">
        <v>20</v>
      </c>
      <c r="AL941" t="s">
        <v>239</v>
      </c>
      <c r="AM941" t="s">
        <v>240</v>
      </c>
      <c r="AN941" t="s">
        <v>241</v>
      </c>
      <c r="AO941" t="s">
        <v>242</v>
      </c>
      <c r="AP941" t="s">
        <v>341</v>
      </c>
      <c r="AQ941" t="s">
        <v>74</v>
      </c>
      <c r="AR941" t="s">
        <v>243</v>
      </c>
      <c r="AS941" t="s">
        <v>244</v>
      </c>
      <c r="AT941" t="s">
        <v>13340</v>
      </c>
      <c r="AU941">
        <v>2004</v>
      </c>
      <c r="AV941">
        <v>31</v>
      </c>
      <c r="AW941">
        <v>7</v>
      </c>
      <c r="AX941" t="s">
        <v>74</v>
      </c>
      <c r="AY941" t="s">
        <v>74</v>
      </c>
      <c r="AZ941" t="s">
        <v>74</v>
      </c>
      <c r="BA941" t="s">
        <v>74</v>
      </c>
      <c r="BB941" t="s">
        <v>74</v>
      </c>
      <c r="BC941" t="s">
        <v>74</v>
      </c>
      <c r="BD941" t="s">
        <v>13341</v>
      </c>
      <c r="BE941" t="s">
        <v>13342</v>
      </c>
      <c r="BF941" t="str">
        <f>HYPERLINK("http://dx.doi.org/10.1029/2003GL018869","http://dx.doi.org/10.1029/2003GL018869")</f>
        <v>http://dx.doi.org/10.1029/2003GL018869</v>
      </c>
      <c r="BG941" t="s">
        <v>74</v>
      </c>
      <c r="BH941" t="s">
        <v>74</v>
      </c>
      <c r="BI941">
        <v>4</v>
      </c>
      <c r="BJ941" t="s">
        <v>248</v>
      </c>
      <c r="BK941" t="s">
        <v>139</v>
      </c>
      <c r="BL941" t="s">
        <v>249</v>
      </c>
      <c r="BM941" t="s">
        <v>13343</v>
      </c>
      <c r="BN941" t="s">
        <v>74</v>
      </c>
      <c r="BO941" t="s">
        <v>13344</v>
      </c>
      <c r="BP941" t="s">
        <v>74</v>
      </c>
      <c r="BQ941" t="s">
        <v>74</v>
      </c>
      <c r="BR941" t="s">
        <v>98</v>
      </c>
      <c r="BS941" t="s">
        <v>13345</v>
      </c>
      <c r="BT941" t="str">
        <f>HYPERLINK("https%3A%2F%2Fwww.webofscience.com%2Fwos%2Fwoscc%2Ffull-record%2FWOS:000221075700002","View Full Record in Web of Science")</f>
        <v>View Full Record in Web of Science</v>
      </c>
    </row>
    <row r="942" spans="1:72" x14ac:dyDescent="0.15">
      <c r="A942" t="s">
        <v>122</v>
      </c>
      <c r="B942" t="s">
        <v>13346</v>
      </c>
      <c r="C942" t="s">
        <v>74</v>
      </c>
      <c r="D942" t="s">
        <v>74</v>
      </c>
      <c r="E942" t="s">
        <v>74</v>
      </c>
      <c r="F942" t="s">
        <v>13346</v>
      </c>
      <c r="G942" t="s">
        <v>74</v>
      </c>
      <c r="H942" t="s">
        <v>74</v>
      </c>
      <c r="I942" t="s">
        <v>13347</v>
      </c>
      <c r="J942" t="s">
        <v>1636</v>
      </c>
      <c r="K942" t="s">
        <v>74</v>
      </c>
      <c r="L942" t="s">
        <v>74</v>
      </c>
      <c r="M942" t="s">
        <v>79</v>
      </c>
      <c r="N942" t="s">
        <v>126</v>
      </c>
      <c r="O942" t="s">
        <v>74</v>
      </c>
      <c r="P942" t="s">
        <v>74</v>
      </c>
      <c r="Q942" t="s">
        <v>74</v>
      </c>
      <c r="R942" t="s">
        <v>74</v>
      </c>
      <c r="S942" t="s">
        <v>74</v>
      </c>
      <c r="T942" t="s">
        <v>13348</v>
      </c>
      <c r="U942" t="s">
        <v>74</v>
      </c>
      <c r="V942" t="s">
        <v>13349</v>
      </c>
      <c r="W942" t="s">
        <v>13350</v>
      </c>
      <c r="X942" t="s">
        <v>3690</v>
      </c>
      <c r="Y942" t="s">
        <v>13351</v>
      </c>
      <c r="Z942" t="s">
        <v>74</v>
      </c>
      <c r="AA942" t="s">
        <v>3693</v>
      </c>
      <c r="AB942" t="s">
        <v>3694</v>
      </c>
      <c r="AC942" t="s">
        <v>74</v>
      </c>
      <c r="AD942" t="s">
        <v>74</v>
      </c>
      <c r="AE942" t="s">
        <v>74</v>
      </c>
      <c r="AF942" t="s">
        <v>74</v>
      </c>
      <c r="AG942">
        <v>31</v>
      </c>
      <c r="AH942">
        <v>32</v>
      </c>
      <c r="AI942">
        <v>32</v>
      </c>
      <c r="AJ942">
        <v>0</v>
      </c>
      <c r="AK942">
        <v>0</v>
      </c>
      <c r="AL942" t="s">
        <v>1644</v>
      </c>
      <c r="AM942" t="s">
        <v>1645</v>
      </c>
      <c r="AN942" t="s">
        <v>1859</v>
      </c>
      <c r="AO942" t="s">
        <v>1647</v>
      </c>
      <c r="AP942" t="s">
        <v>74</v>
      </c>
      <c r="AQ942" t="s">
        <v>74</v>
      </c>
      <c r="AR942" t="s">
        <v>1649</v>
      </c>
      <c r="AS942" t="s">
        <v>1650</v>
      </c>
      <c r="AT942" t="s">
        <v>13352</v>
      </c>
      <c r="AU942">
        <v>2004</v>
      </c>
      <c r="AV942">
        <v>38</v>
      </c>
      <c r="AW942">
        <v>7</v>
      </c>
      <c r="AX942" t="s">
        <v>74</v>
      </c>
      <c r="AY942" t="s">
        <v>74</v>
      </c>
      <c r="AZ942" t="s">
        <v>74</v>
      </c>
      <c r="BA942" t="s">
        <v>74</v>
      </c>
      <c r="BB942">
        <v>805</v>
      </c>
      <c r="BC942">
        <v>861</v>
      </c>
      <c r="BD942" t="s">
        <v>74</v>
      </c>
      <c r="BE942" t="s">
        <v>13353</v>
      </c>
      <c r="BF942" t="str">
        <f>HYPERLINK("http://dx.doi.org/10.1080/0022293021000045154","http://dx.doi.org/10.1080/0022293021000045154")</f>
        <v>http://dx.doi.org/10.1080/0022293021000045154</v>
      </c>
      <c r="BG942" t="s">
        <v>74</v>
      </c>
      <c r="BH942" t="s">
        <v>74</v>
      </c>
      <c r="BI942">
        <v>57</v>
      </c>
      <c r="BJ942" t="s">
        <v>1652</v>
      </c>
      <c r="BK942" t="s">
        <v>139</v>
      </c>
      <c r="BL942" t="s">
        <v>1653</v>
      </c>
      <c r="BM942" t="s">
        <v>13354</v>
      </c>
      <c r="BN942" t="s">
        <v>74</v>
      </c>
      <c r="BO942" t="s">
        <v>74</v>
      </c>
      <c r="BP942" t="s">
        <v>74</v>
      </c>
      <c r="BQ942" t="s">
        <v>74</v>
      </c>
      <c r="BR942" t="s">
        <v>98</v>
      </c>
      <c r="BS942" t="s">
        <v>13355</v>
      </c>
      <c r="BT942" t="str">
        <f>HYPERLINK("https%3A%2F%2Fwww.webofscience.com%2Fwos%2Fwoscc%2Ffull-record%2FWOS:000186393600001","View Full Record in Web of Science")</f>
        <v>View Full Record in Web of Science</v>
      </c>
    </row>
    <row r="943" spans="1:72" x14ac:dyDescent="0.15">
      <c r="A943" t="s">
        <v>122</v>
      </c>
      <c r="B943" t="s">
        <v>13356</v>
      </c>
      <c r="C943" t="s">
        <v>74</v>
      </c>
      <c r="D943" t="s">
        <v>74</v>
      </c>
      <c r="E943" t="s">
        <v>74</v>
      </c>
      <c r="F943" t="s">
        <v>13356</v>
      </c>
      <c r="G943" t="s">
        <v>74</v>
      </c>
      <c r="H943" t="s">
        <v>74</v>
      </c>
      <c r="I943" t="s">
        <v>13357</v>
      </c>
      <c r="J943" t="s">
        <v>1636</v>
      </c>
      <c r="K943" t="s">
        <v>74</v>
      </c>
      <c r="L943" t="s">
        <v>74</v>
      </c>
      <c r="M943" t="s">
        <v>79</v>
      </c>
      <c r="N943" t="s">
        <v>126</v>
      </c>
      <c r="O943" t="s">
        <v>74</v>
      </c>
      <c r="P943" t="s">
        <v>74</v>
      </c>
      <c r="Q943" t="s">
        <v>74</v>
      </c>
      <c r="R943" t="s">
        <v>74</v>
      </c>
      <c r="S943" t="s">
        <v>74</v>
      </c>
      <c r="T943" t="s">
        <v>13358</v>
      </c>
      <c r="U943" t="s">
        <v>13359</v>
      </c>
      <c r="V943" t="s">
        <v>13360</v>
      </c>
      <c r="W943" t="s">
        <v>13361</v>
      </c>
      <c r="X943" t="s">
        <v>13362</v>
      </c>
      <c r="Y943" t="s">
        <v>13363</v>
      </c>
      <c r="Z943" t="s">
        <v>74</v>
      </c>
      <c r="AA943" t="s">
        <v>74</v>
      </c>
      <c r="AB943" t="s">
        <v>74</v>
      </c>
      <c r="AC943" t="s">
        <v>74</v>
      </c>
      <c r="AD943" t="s">
        <v>74</v>
      </c>
      <c r="AE943" t="s">
        <v>74</v>
      </c>
      <c r="AF943" t="s">
        <v>74</v>
      </c>
      <c r="AG943">
        <v>14</v>
      </c>
      <c r="AH943">
        <v>6</v>
      </c>
      <c r="AI943">
        <v>7</v>
      </c>
      <c r="AJ943">
        <v>0</v>
      </c>
      <c r="AK943">
        <v>5</v>
      </c>
      <c r="AL943" t="s">
        <v>1644</v>
      </c>
      <c r="AM943" t="s">
        <v>1645</v>
      </c>
      <c r="AN943" t="s">
        <v>1859</v>
      </c>
      <c r="AO943" t="s">
        <v>1647</v>
      </c>
      <c r="AP943" t="s">
        <v>74</v>
      </c>
      <c r="AQ943" t="s">
        <v>74</v>
      </c>
      <c r="AR943" t="s">
        <v>1649</v>
      </c>
      <c r="AS943" t="s">
        <v>1650</v>
      </c>
      <c r="AT943" t="s">
        <v>13352</v>
      </c>
      <c r="AU943">
        <v>2004</v>
      </c>
      <c r="AV943">
        <v>38</v>
      </c>
      <c r="AW943">
        <v>7</v>
      </c>
      <c r="AX943" t="s">
        <v>74</v>
      </c>
      <c r="AY943" t="s">
        <v>74</v>
      </c>
      <c r="AZ943" t="s">
        <v>74</v>
      </c>
      <c r="BA943" t="s">
        <v>74</v>
      </c>
      <c r="BB943">
        <v>889</v>
      </c>
      <c r="BC943">
        <v>899</v>
      </c>
      <c r="BD943" t="s">
        <v>74</v>
      </c>
      <c r="BE943" t="s">
        <v>13364</v>
      </c>
      <c r="BF943" t="str">
        <f>HYPERLINK("http://dx.doi.org/10.1080/0022293021000046513","http://dx.doi.org/10.1080/0022293021000046513")</f>
        <v>http://dx.doi.org/10.1080/0022293021000046513</v>
      </c>
      <c r="BG943" t="s">
        <v>74</v>
      </c>
      <c r="BH943" t="s">
        <v>74</v>
      </c>
      <c r="BI943">
        <v>11</v>
      </c>
      <c r="BJ943" t="s">
        <v>1652</v>
      </c>
      <c r="BK943" t="s">
        <v>139</v>
      </c>
      <c r="BL943" t="s">
        <v>1653</v>
      </c>
      <c r="BM943" t="s">
        <v>13354</v>
      </c>
      <c r="BN943" t="s">
        <v>74</v>
      </c>
      <c r="BO943" t="s">
        <v>74</v>
      </c>
      <c r="BP943" t="s">
        <v>74</v>
      </c>
      <c r="BQ943" t="s">
        <v>74</v>
      </c>
      <c r="BR943" t="s">
        <v>98</v>
      </c>
      <c r="BS943" t="s">
        <v>13365</v>
      </c>
      <c r="BT943" t="str">
        <f>HYPERLINK("https%3A%2F%2Fwww.webofscience.com%2Fwos%2Fwoscc%2Ffull-record%2FWOS:000186393600004","View Full Record in Web of Science")</f>
        <v>View Full Record in Web of Science</v>
      </c>
    </row>
    <row r="944" spans="1:72" x14ac:dyDescent="0.15">
      <c r="A944" t="s">
        <v>122</v>
      </c>
      <c r="B944" t="s">
        <v>13366</v>
      </c>
      <c r="C944" t="s">
        <v>74</v>
      </c>
      <c r="D944" t="s">
        <v>74</v>
      </c>
      <c r="E944" t="s">
        <v>74</v>
      </c>
      <c r="F944" t="s">
        <v>13366</v>
      </c>
      <c r="G944" t="s">
        <v>74</v>
      </c>
      <c r="H944" t="s">
        <v>74</v>
      </c>
      <c r="I944" t="s">
        <v>13367</v>
      </c>
      <c r="J944" t="s">
        <v>230</v>
      </c>
      <c r="K944" t="s">
        <v>74</v>
      </c>
      <c r="L944" t="s">
        <v>74</v>
      </c>
      <c r="M944" t="s">
        <v>79</v>
      </c>
      <c r="N944" t="s">
        <v>126</v>
      </c>
      <c r="O944" t="s">
        <v>74</v>
      </c>
      <c r="P944" t="s">
        <v>74</v>
      </c>
      <c r="Q944" t="s">
        <v>74</v>
      </c>
      <c r="R944" t="s">
        <v>74</v>
      </c>
      <c r="S944" t="s">
        <v>74</v>
      </c>
      <c r="T944" t="s">
        <v>74</v>
      </c>
      <c r="U944" t="s">
        <v>13368</v>
      </c>
      <c r="V944" t="s">
        <v>13369</v>
      </c>
      <c r="W944" t="s">
        <v>13370</v>
      </c>
      <c r="X944" t="s">
        <v>4072</v>
      </c>
      <c r="Y944" t="s">
        <v>13371</v>
      </c>
      <c r="Z944" t="s">
        <v>13372</v>
      </c>
      <c r="AA944" t="s">
        <v>74</v>
      </c>
      <c r="AB944" t="s">
        <v>13373</v>
      </c>
      <c r="AC944" t="s">
        <v>74</v>
      </c>
      <c r="AD944" t="s">
        <v>74</v>
      </c>
      <c r="AE944" t="s">
        <v>74</v>
      </c>
      <c r="AF944" t="s">
        <v>74</v>
      </c>
      <c r="AG944">
        <v>14</v>
      </c>
      <c r="AH944">
        <v>45</v>
      </c>
      <c r="AI944">
        <v>53</v>
      </c>
      <c r="AJ944">
        <v>1</v>
      </c>
      <c r="AK944">
        <v>9</v>
      </c>
      <c r="AL944" t="s">
        <v>239</v>
      </c>
      <c r="AM944" t="s">
        <v>240</v>
      </c>
      <c r="AN944" t="s">
        <v>241</v>
      </c>
      <c r="AO944" t="s">
        <v>242</v>
      </c>
      <c r="AP944" t="s">
        <v>341</v>
      </c>
      <c r="AQ944" t="s">
        <v>74</v>
      </c>
      <c r="AR944" t="s">
        <v>243</v>
      </c>
      <c r="AS944" t="s">
        <v>244</v>
      </c>
      <c r="AT944" t="s">
        <v>13374</v>
      </c>
      <c r="AU944">
        <v>2004</v>
      </c>
      <c r="AV944">
        <v>31</v>
      </c>
      <c r="AW944">
        <v>7</v>
      </c>
      <c r="AX944" t="s">
        <v>74</v>
      </c>
      <c r="AY944" t="s">
        <v>74</v>
      </c>
      <c r="AZ944" t="s">
        <v>74</v>
      </c>
      <c r="BA944" t="s">
        <v>74</v>
      </c>
      <c r="BB944" t="s">
        <v>74</v>
      </c>
      <c r="BC944" t="s">
        <v>74</v>
      </c>
      <c r="BD944" t="s">
        <v>13375</v>
      </c>
      <c r="BE944" t="s">
        <v>13376</v>
      </c>
      <c r="BF944" t="str">
        <f>HYPERLINK("http://dx.doi.org/10.1029/2003GL019302","http://dx.doi.org/10.1029/2003GL019302")</f>
        <v>http://dx.doi.org/10.1029/2003GL019302</v>
      </c>
      <c r="BG944" t="s">
        <v>74</v>
      </c>
      <c r="BH944" t="s">
        <v>74</v>
      </c>
      <c r="BI944">
        <v>4</v>
      </c>
      <c r="BJ944" t="s">
        <v>248</v>
      </c>
      <c r="BK944" t="s">
        <v>139</v>
      </c>
      <c r="BL944" t="s">
        <v>249</v>
      </c>
      <c r="BM944" t="s">
        <v>13377</v>
      </c>
      <c r="BN944" t="s">
        <v>74</v>
      </c>
      <c r="BO944" t="s">
        <v>273</v>
      </c>
      <c r="BP944" t="s">
        <v>74</v>
      </c>
      <c r="BQ944" t="s">
        <v>74</v>
      </c>
      <c r="BR944" t="s">
        <v>98</v>
      </c>
      <c r="BS944" t="s">
        <v>13378</v>
      </c>
      <c r="BT944" t="str">
        <f>HYPERLINK("https%3A%2F%2Fwww.webofscience.com%2Fwos%2Fwoscc%2Ffull-record%2FWOS:000220915500003","View Full Record in Web of Science")</f>
        <v>View Full Record in Web of Science</v>
      </c>
    </row>
    <row r="945" spans="1:72" x14ac:dyDescent="0.15">
      <c r="A945" t="s">
        <v>122</v>
      </c>
      <c r="B945" t="s">
        <v>13379</v>
      </c>
      <c r="C945" t="s">
        <v>74</v>
      </c>
      <c r="D945" t="s">
        <v>74</v>
      </c>
      <c r="E945" t="s">
        <v>74</v>
      </c>
      <c r="F945" t="s">
        <v>13379</v>
      </c>
      <c r="G945" t="s">
        <v>74</v>
      </c>
      <c r="H945" t="s">
        <v>74</v>
      </c>
      <c r="I945" t="s">
        <v>13380</v>
      </c>
      <c r="J945" t="s">
        <v>311</v>
      </c>
      <c r="K945" t="s">
        <v>74</v>
      </c>
      <c r="L945" t="s">
        <v>74</v>
      </c>
      <c r="M945" t="s">
        <v>79</v>
      </c>
      <c r="N945" t="s">
        <v>126</v>
      </c>
      <c r="O945" t="s">
        <v>74</v>
      </c>
      <c r="P945" t="s">
        <v>74</v>
      </c>
      <c r="Q945" t="s">
        <v>74</v>
      </c>
      <c r="R945" t="s">
        <v>74</v>
      </c>
      <c r="S945" t="s">
        <v>74</v>
      </c>
      <c r="T945" t="s">
        <v>13381</v>
      </c>
      <c r="U945" t="s">
        <v>13382</v>
      </c>
      <c r="V945" t="s">
        <v>13383</v>
      </c>
      <c r="W945" t="s">
        <v>13384</v>
      </c>
      <c r="X945" t="s">
        <v>88</v>
      </c>
      <c r="Y945" t="s">
        <v>13385</v>
      </c>
      <c r="Z945" t="s">
        <v>13386</v>
      </c>
      <c r="AA945" t="s">
        <v>74</v>
      </c>
      <c r="AB945" t="s">
        <v>74</v>
      </c>
      <c r="AC945" t="s">
        <v>74</v>
      </c>
      <c r="AD945" t="s">
        <v>74</v>
      </c>
      <c r="AE945" t="s">
        <v>74</v>
      </c>
      <c r="AF945" t="s">
        <v>74</v>
      </c>
      <c r="AG945">
        <v>51</v>
      </c>
      <c r="AH945">
        <v>98</v>
      </c>
      <c r="AI945">
        <v>109</v>
      </c>
      <c r="AJ945">
        <v>0</v>
      </c>
      <c r="AK945">
        <v>20</v>
      </c>
      <c r="AL945" t="s">
        <v>239</v>
      </c>
      <c r="AM945" t="s">
        <v>240</v>
      </c>
      <c r="AN945" t="s">
        <v>241</v>
      </c>
      <c r="AO945" t="s">
        <v>321</v>
      </c>
      <c r="AP945" t="s">
        <v>439</v>
      </c>
      <c r="AQ945" t="s">
        <v>74</v>
      </c>
      <c r="AR945" t="s">
        <v>311</v>
      </c>
      <c r="AS945" t="s">
        <v>322</v>
      </c>
      <c r="AT945" t="s">
        <v>13374</v>
      </c>
      <c r="AU945">
        <v>2004</v>
      </c>
      <c r="AV945">
        <v>19</v>
      </c>
      <c r="AW945">
        <v>2</v>
      </c>
      <c r="AX945" t="s">
        <v>74</v>
      </c>
      <c r="AY945" t="s">
        <v>74</v>
      </c>
      <c r="AZ945" t="s">
        <v>74</v>
      </c>
      <c r="BA945" t="s">
        <v>74</v>
      </c>
      <c r="BB945" t="s">
        <v>74</v>
      </c>
      <c r="BC945" t="s">
        <v>74</v>
      </c>
      <c r="BD945" t="s">
        <v>13387</v>
      </c>
      <c r="BE945" t="s">
        <v>13388</v>
      </c>
      <c r="BF945" t="str">
        <f>HYPERLINK("http://dx.doi.org/10.1029/2003PA000983","http://dx.doi.org/10.1029/2003PA000983")</f>
        <v>http://dx.doi.org/10.1029/2003PA000983</v>
      </c>
      <c r="BG945" t="s">
        <v>74</v>
      </c>
      <c r="BH945" t="s">
        <v>74</v>
      </c>
      <c r="BI945">
        <v>12</v>
      </c>
      <c r="BJ945" t="s">
        <v>326</v>
      </c>
      <c r="BK945" t="s">
        <v>139</v>
      </c>
      <c r="BL945" t="s">
        <v>327</v>
      </c>
      <c r="BM945" t="s">
        <v>13389</v>
      </c>
      <c r="BN945" t="s">
        <v>74</v>
      </c>
      <c r="BO945" t="s">
        <v>207</v>
      </c>
      <c r="BP945" t="s">
        <v>74</v>
      </c>
      <c r="BQ945" t="s">
        <v>74</v>
      </c>
      <c r="BR945" t="s">
        <v>98</v>
      </c>
      <c r="BS945" t="s">
        <v>13390</v>
      </c>
      <c r="BT945" t="str">
        <f>HYPERLINK("https%3A%2F%2Fwww.webofscience.com%2Fwos%2Fwoscc%2Ffull-record%2FWOS:000220920300002","View Full Record in Web of Science")</f>
        <v>View Full Record in Web of Science</v>
      </c>
    </row>
    <row r="946" spans="1:72" x14ac:dyDescent="0.15">
      <c r="A946" t="s">
        <v>122</v>
      </c>
      <c r="B946" t="s">
        <v>13391</v>
      </c>
      <c r="C946" t="s">
        <v>74</v>
      </c>
      <c r="D946" t="s">
        <v>74</v>
      </c>
      <c r="E946" t="s">
        <v>74</v>
      </c>
      <c r="F946" t="s">
        <v>13391</v>
      </c>
      <c r="G946" t="s">
        <v>74</v>
      </c>
      <c r="H946" t="s">
        <v>74</v>
      </c>
      <c r="I946" t="s">
        <v>13392</v>
      </c>
      <c r="J946" t="s">
        <v>13393</v>
      </c>
      <c r="K946" t="s">
        <v>74</v>
      </c>
      <c r="L946" t="s">
        <v>74</v>
      </c>
      <c r="M946" t="s">
        <v>79</v>
      </c>
      <c r="N946" t="s">
        <v>126</v>
      </c>
      <c r="O946" t="s">
        <v>74</v>
      </c>
      <c r="P946" t="s">
        <v>74</v>
      </c>
      <c r="Q946" t="s">
        <v>74</v>
      </c>
      <c r="R946" t="s">
        <v>74</v>
      </c>
      <c r="S946" t="s">
        <v>74</v>
      </c>
      <c r="T946" t="s">
        <v>13394</v>
      </c>
      <c r="U946" t="s">
        <v>13395</v>
      </c>
      <c r="V946" t="s">
        <v>13396</v>
      </c>
      <c r="W946" t="s">
        <v>13397</v>
      </c>
      <c r="X946" t="s">
        <v>13398</v>
      </c>
      <c r="Y946" t="s">
        <v>13399</v>
      </c>
      <c r="Z946" t="s">
        <v>13400</v>
      </c>
      <c r="AA946" t="s">
        <v>13401</v>
      </c>
      <c r="AB946" t="s">
        <v>13402</v>
      </c>
      <c r="AC946" t="s">
        <v>74</v>
      </c>
      <c r="AD946" t="s">
        <v>74</v>
      </c>
      <c r="AE946" t="s">
        <v>74</v>
      </c>
      <c r="AF946" t="s">
        <v>74</v>
      </c>
      <c r="AG946">
        <v>24</v>
      </c>
      <c r="AH946">
        <v>187</v>
      </c>
      <c r="AI946">
        <v>198</v>
      </c>
      <c r="AJ946">
        <v>0</v>
      </c>
      <c r="AK946">
        <v>21</v>
      </c>
      <c r="AL946" t="s">
        <v>1273</v>
      </c>
      <c r="AM946" t="s">
        <v>197</v>
      </c>
      <c r="AN946" t="s">
        <v>1274</v>
      </c>
      <c r="AO946" t="s">
        <v>13403</v>
      </c>
      <c r="AP946" t="s">
        <v>13404</v>
      </c>
      <c r="AQ946" t="s">
        <v>74</v>
      </c>
      <c r="AR946" t="s">
        <v>13405</v>
      </c>
      <c r="AS946" t="s">
        <v>13406</v>
      </c>
      <c r="AT946" t="s">
        <v>13407</v>
      </c>
      <c r="AU946">
        <v>2004</v>
      </c>
      <c r="AV946">
        <v>14</v>
      </c>
      <c r="AW946">
        <v>7</v>
      </c>
      <c r="AX946" t="s">
        <v>74</v>
      </c>
      <c r="AY946" t="s">
        <v>74</v>
      </c>
      <c r="AZ946" t="s">
        <v>74</v>
      </c>
      <c r="BA946" t="s">
        <v>74</v>
      </c>
      <c r="BB946">
        <v>1703</v>
      </c>
      <c r="BC946">
        <v>1707</v>
      </c>
      <c r="BD946" t="s">
        <v>74</v>
      </c>
      <c r="BE946" t="s">
        <v>13408</v>
      </c>
      <c r="BF946" t="str">
        <f>HYPERLINK("http://dx.doi.org/10.1016/j.bmcl.2004.01.050","http://dx.doi.org/10.1016/j.bmcl.2004.01.050")</f>
        <v>http://dx.doi.org/10.1016/j.bmcl.2004.01.050</v>
      </c>
      <c r="BG946" t="s">
        <v>74</v>
      </c>
      <c r="BH946" t="s">
        <v>74</v>
      </c>
      <c r="BI946">
        <v>5</v>
      </c>
      <c r="BJ946" t="s">
        <v>13409</v>
      </c>
      <c r="BK946" t="s">
        <v>139</v>
      </c>
      <c r="BL946" t="s">
        <v>13410</v>
      </c>
      <c r="BM946" t="s">
        <v>13411</v>
      </c>
      <c r="BN946">
        <v>15026054</v>
      </c>
      <c r="BO946" t="s">
        <v>74</v>
      </c>
      <c r="BP946" t="s">
        <v>74</v>
      </c>
      <c r="BQ946" t="s">
        <v>74</v>
      </c>
      <c r="BR946" t="s">
        <v>98</v>
      </c>
      <c r="BS946" t="s">
        <v>13412</v>
      </c>
      <c r="BT946" t="str">
        <f>HYPERLINK("https%3A%2F%2Fwww.webofscience.com%2Fwos%2Fwoscc%2Ffull-record%2FWOS:000220411200020","View Full Record in Web of Science")</f>
        <v>View Full Record in Web of Science</v>
      </c>
    </row>
    <row r="947" spans="1:72" x14ac:dyDescent="0.15">
      <c r="A947" t="s">
        <v>122</v>
      </c>
      <c r="B947" t="s">
        <v>13413</v>
      </c>
      <c r="C947" t="s">
        <v>74</v>
      </c>
      <c r="D947" t="s">
        <v>74</v>
      </c>
      <c r="E947" t="s">
        <v>74</v>
      </c>
      <c r="F947" t="s">
        <v>13413</v>
      </c>
      <c r="G947" t="s">
        <v>74</v>
      </c>
      <c r="H947" t="s">
        <v>74</v>
      </c>
      <c r="I947" t="s">
        <v>13414</v>
      </c>
      <c r="J947" t="s">
        <v>475</v>
      </c>
      <c r="K947" t="s">
        <v>74</v>
      </c>
      <c r="L947" t="s">
        <v>74</v>
      </c>
      <c r="M947" t="s">
        <v>79</v>
      </c>
      <c r="N947" t="s">
        <v>126</v>
      </c>
      <c r="O947" t="s">
        <v>74</v>
      </c>
      <c r="P947" t="s">
        <v>74</v>
      </c>
      <c r="Q947" t="s">
        <v>74</v>
      </c>
      <c r="R947" t="s">
        <v>74</v>
      </c>
      <c r="S947" t="s">
        <v>74</v>
      </c>
      <c r="T947" t="s">
        <v>74</v>
      </c>
      <c r="U947" t="s">
        <v>13415</v>
      </c>
      <c r="V947" t="s">
        <v>13416</v>
      </c>
      <c r="W947" t="s">
        <v>13417</v>
      </c>
      <c r="X947" t="s">
        <v>935</v>
      </c>
      <c r="Y947" t="s">
        <v>13418</v>
      </c>
      <c r="Z947" t="s">
        <v>13419</v>
      </c>
      <c r="AA947" t="s">
        <v>74</v>
      </c>
      <c r="AB947" t="s">
        <v>74</v>
      </c>
      <c r="AC947" t="s">
        <v>74</v>
      </c>
      <c r="AD947" t="s">
        <v>74</v>
      </c>
      <c r="AE947" t="s">
        <v>74</v>
      </c>
      <c r="AF947" t="s">
        <v>74</v>
      </c>
      <c r="AG947">
        <v>39</v>
      </c>
      <c r="AH947">
        <v>57</v>
      </c>
      <c r="AI947">
        <v>59</v>
      </c>
      <c r="AJ947">
        <v>0</v>
      </c>
      <c r="AK947">
        <v>3</v>
      </c>
      <c r="AL947" t="s">
        <v>239</v>
      </c>
      <c r="AM947" t="s">
        <v>240</v>
      </c>
      <c r="AN947" t="s">
        <v>241</v>
      </c>
      <c r="AO947" t="s">
        <v>484</v>
      </c>
      <c r="AP947" t="s">
        <v>485</v>
      </c>
      <c r="AQ947" t="s">
        <v>74</v>
      </c>
      <c r="AR947" t="s">
        <v>486</v>
      </c>
      <c r="AS947" t="s">
        <v>487</v>
      </c>
      <c r="AT947" t="s">
        <v>13420</v>
      </c>
      <c r="AU947">
        <v>2004</v>
      </c>
      <c r="AV947">
        <v>109</v>
      </c>
      <c r="AW947" t="s">
        <v>13189</v>
      </c>
      <c r="AX947" t="s">
        <v>74</v>
      </c>
      <c r="AY947" t="s">
        <v>74</v>
      </c>
      <c r="AZ947" t="s">
        <v>74</v>
      </c>
      <c r="BA947" t="s">
        <v>74</v>
      </c>
      <c r="BB947" t="s">
        <v>74</v>
      </c>
      <c r="BC947" t="s">
        <v>74</v>
      </c>
      <c r="BD947" t="s">
        <v>13421</v>
      </c>
      <c r="BE947" t="s">
        <v>13422</v>
      </c>
      <c r="BF947" t="str">
        <f>HYPERLINK("http://dx.doi.org/10.1029/2003JA010060","http://dx.doi.org/10.1029/2003JA010060")</f>
        <v>http://dx.doi.org/10.1029/2003JA010060</v>
      </c>
      <c r="BG947" t="s">
        <v>74</v>
      </c>
      <c r="BH947" t="s">
        <v>74</v>
      </c>
      <c r="BI947">
        <v>17</v>
      </c>
      <c r="BJ947" t="s">
        <v>491</v>
      </c>
      <c r="BK947" t="s">
        <v>139</v>
      </c>
      <c r="BL947" t="s">
        <v>491</v>
      </c>
      <c r="BM947" t="s">
        <v>13423</v>
      </c>
      <c r="BN947" t="s">
        <v>74</v>
      </c>
      <c r="BO947" t="s">
        <v>273</v>
      </c>
      <c r="BP947" t="s">
        <v>74</v>
      </c>
      <c r="BQ947" t="s">
        <v>74</v>
      </c>
      <c r="BR947" t="s">
        <v>98</v>
      </c>
      <c r="BS947" t="s">
        <v>13424</v>
      </c>
      <c r="BT947" t="str">
        <f>HYPERLINK("https%3A%2F%2Fwww.webofscience.com%2Fwos%2Fwoscc%2Ffull-record%2FWOS:000220746500003","View Full Record in Web of Science")</f>
        <v>View Full Record in Web of Science</v>
      </c>
    </row>
    <row r="948" spans="1:72" x14ac:dyDescent="0.15">
      <c r="A948" t="s">
        <v>122</v>
      </c>
      <c r="B948" t="s">
        <v>12843</v>
      </c>
      <c r="C948" t="s">
        <v>74</v>
      </c>
      <c r="D948" t="s">
        <v>74</v>
      </c>
      <c r="E948" t="s">
        <v>74</v>
      </c>
      <c r="F948" t="s">
        <v>12843</v>
      </c>
      <c r="G948" t="s">
        <v>74</v>
      </c>
      <c r="H948" t="s">
        <v>74</v>
      </c>
      <c r="I948" t="s">
        <v>13425</v>
      </c>
      <c r="J948" t="s">
        <v>875</v>
      </c>
      <c r="K948" t="s">
        <v>74</v>
      </c>
      <c r="L948" t="s">
        <v>74</v>
      </c>
      <c r="M948" t="s">
        <v>79</v>
      </c>
      <c r="N948" t="s">
        <v>126</v>
      </c>
      <c r="O948" t="s">
        <v>74</v>
      </c>
      <c r="P948" t="s">
        <v>74</v>
      </c>
      <c r="Q948" t="s">
        <v>74</v>
      </c>
      <c r="R948" t="s">
        <v>74</v>
      </c>
      <c r="S948" t="s">
        <v>74</v>
      </c>
      <c r="T948" t="s">
        <v>74</v>
      </c>
      <c r="U948" t="s">
        <v>13426</v>
      </c>
      <c r="V948" t="s">
        <v>13427</v>
      </c>
      <c r="W948" t="s">
        <v>13428</v>
      </c>
      <c r="X948" t="s">
        <v>12848</v>
      </c>
      <c r="Y948" t="s">
        <v>13429</v>
      </c>
      <c r="Z948" t="s">
        <v>12850</v>
      </c>
      <c r="AA948" t="s">
        <v>12851</v>
      </c>
      <c r="AB948" t="s">
        <v>12852</v>
      </c>
      <c r="AC948" t="s">
        <v>74</v>
      </c>
      <c r="AD948" t="s">
        <v>74</v>
      </c>
      <c r="AE948" t="s">
        <v>74</v>
      </c>
      <c r="AF948" t="s">
        <v>74</v>
      </c>
      <c r="AG948">
        <v>40</v>
      </c>
      <c r="AH948">
        <v>13</v>
      </c>
      <c r="AI948">
        <v>13</v>
      </c>
      <c r="AJ948">
        <v>1</v>
      </c>
      <c r="AK948">
        <v>11</v>
      </c>
      <c r="AL948" t="s">
        <v>884</v>
      </c>
      <c r="AM948" t="s">
        <v>375</v>
      </c>
      <c r="AN948" t="s">
        <v>885</v>
      </c>
      <c r="AO948" t="s">
        <v>886</v>
      </c>
      <c r="AP948" t="s">
        <v>887</v>
      </c>
      <c r="AQ948" t="s">
        <v>74</v>
      </c>
      <c r="AR948" t="s">
        <v>888</v>
      </c>
      <c r="AS948" t="s">
        <v>889</v>
      </c>
      <c r="AT948" t="s">
        <v>13430</v>
      </c>
      <c r="AU948">
        <v>2004</v>
      </c>
      <c r="AV948">
        <v>67</v>
      </c>
      <c r="AW948" t="s">
        <v>74</v>
      </c>
      <c r="AX948">
        <v>4</v>
      </c>
      <c r="AY948" t="s">
        <v>74</v>
      </c>
      <c r="AZ948" t="s">
        <v>74</v>
      </c>
      <c r="BA948" t="s">
        <v>74</v>
      </c>
      <c r="BB948">
        <v>663</v>
      </c>
      <c r="BC948">
        <v>671</v>
      </c>
      <c r="BD948" t="s">
        <v>74</v>
      </c>
      <c r="BE948" t="s">
        <v>13431</v>
      </c>
      <c r="BF948" t="str">
        <f>HYPERLINK("http://dx.doi.org/10.1016/j.anbehav.2003.08.008","http://dx.doi.org/10.1016/j.anbehav.2003.08.008")</f>
        <v>http://dx.doi.org/10.1016/j.anbehav.2003.08.008</v>
      </c>
      <c r="BG948" t="s">
        <v>74</v>
      </c>
      <c r="BH948" t="s">
        <v>74</v>
      </c>
      <c r="BI948">
        <v>9</v>
      </c>
      <c r="BJ948" t="s">
        <v>892</v>
      </c>
      <c r="BK948" t="s">
        <v>139</v>
      </c>
      <c r="BL948" t="s">
        <v>892</v>
      </c>
      <c r="BM948" t="s">
        <v>13432</v>
      </c>
      <c r="BN948" t="s">
        <v>74</v>
      </c>
      <c r="BO948" t="s">
        <v>74</v>
      </c>
      <c r="BP948" t="s">
        <v>74</v>
      </c>
      <c r="BQ948" t="s">
        <v>74</v>
      </c>
      <c r="BR948" t="s">
        <v>98</v>
      </c>
      <c r="BS948" t="s">
        <v>13433</v>
      </c>
      <c r="BT948" t="str">
        <f>HYPERLINK("https%3A%2F%2Fwww.webofscience.com%2Fwos%2Fwoscc%2Ffull-record%2FWOS:000220743400008","View Full Record in Web of Science")</f>
        <v>View Full Record in Web of Science</v>
      </c>
    </row>
    <row r="949" spans="1:72" x14ac:dyDescent="0.15">
      <c r="A949" t="s">
        <v>122</v>
      </c>
      <c r="B949" t="s">
        <v>13434</v>
      </c>
      <c r="C949" t="s">
        <v>74</v>
      </c>
      <c r="D949" t="s">
        <v>74</v>
      </c>
      <c r="E949" t="s">
        <v>74</v>
      </c>
      <c r="F949" t="s">
        <v>13434</v>
      </c>
      <c r="G949" t="s">
        <v>74</v>
      </c>
      <c r="H949" t="s">
        <v>74</v>
      </c>
      <c r="I949" t="s">
        <v>13435</v>
      </c>
      <c r="J949" t="s">
        <v>1107</v>
      </c>
      <c r="K949" t="s">
        <v>74</v>
      </c>
      <c r="L949" t="s">
        <v>74</v>
      </c>
      <c r="M949" t="s">
        <v>79</v>
      </c>
      <c r="N949" t="s">
        <v>126</v>
      </c>
      <c r="O949" t="s">
        <v>74</v>
      </c>
      <c r="P949" t="s">
        <v>74</v>
      </c>
      <c r="Q949" t="s">
        <v>74</v>
      </c>
      <c r="R949" t="s">
        <v>74</v>
      </c>
      <c r="S949" t="s">
        <v>74</v>
      </c>
      <c r="T949" t="s">
        <v>74</v>
      </c>
      <c r="U949" t="s">
        <v>13436</v>
      </c>
      <c r="V949" t="s">
        <v>13437</v>
      </c>
      <c r="W949" t="s">
        <v>13438</v>
      </c>
      <c r="X949" t="s">
        <v>13439</v>
      </c>
      <c r="Y949" t="s">
        <v>13440</v>
      </c>
      <c r="Z949" t="s">
        <v>13441</v>
      </c>
      <c r="AA949" t="s">
        <v>74</v>
      </c>
      <c r="AB949" t="s">
        <v>13442</v>
      </c>
      <c r="AC949" t="s">
        <v>74</v>
      </c>
      <c r="AD949" t="s">
        <v>74</v>
      </c>
      <c r="AE949" t="s">
        <v>74</v>
      </c>
      <c r="AF949" t="s">
        <v>74</v>
      </c>
      <c r="AG949">
        <v>37</v>
      </c>
      <c r="AH949">
        <v>128</v>
      </c>
      <c r="AI949">
        <v>148</v>
      </c>
      <c r="AJ949">
        <v>1</v>
      </c>
      <c r="AK949">
        <v>26</v>
      </c>
      <c r="AL949" t="s">
        <v>1116</v>
      </c>
      <c r="AM949" t="s">
        <v>240</v>
      </c>
      <c r="AN949" t="s">
        <v>1117</v>
      </c>
      <c r="AO949" t="s">
        <v>1118</v>
      </c>
      <c r="AP949" t="s">
        <v>74</v>
      </c>
      <c r="AQ949" t="s">
        <v>74</v>
      </c>
      <c r="AR949" t="s">
        <v>1120</v>
      </c>
      <c r="AS949" t="s">
        <v>1121</v>
      </c>
      <c r="AT949" t="s">
        <v>13430</v>
      </c>
      <c r="AU949">
        <v>2004</v>
      </c>
      <c r="AV949">
        <v>70</v>
      </c>
      <c r="AW949">
        <v>4</v>
      </c>
      <c r="AX949" t="s">
        <v>74</v>
      </c>
      <c r="AY949" t="s">
        <v>74</v>
      </c>
      <c r="AZ949" t="s">
        <v>74</v>
      </c>
      <c r="BA949" t="s">
        <v>74</v>
      </c>
      <c r="BB949">
        <v>2028</v>
      </c>
      <c r="BC949">
        <v>2037</v>
      </c>
      <c r="BD949" t="s">
        <v>74</v>
      </c>
      <c r="BE949" t="s">
        <v>13443</v>
      </c>
      <c r="BF949" t="str">
        <f>HYPERLINK("http://dx.doi.org/10.1128/AEM.70.4.2028-2037.2004","http://dx.doi.org/10.1128/AEM.70.4.2028-2037.2004")</f>
        <v>http://dx.doi.org/10.1128/AEM.70.4.2028-2037.2004</v>
      </c>
      <c r="BG949" t="s">
        <v>74</v>
      </c>
      <c r="BH949" t="s">
        <v>74</v>
      </c>
      <c r="BI949">
        <v>10</v>
      </c>
      <c r="BJ949" t="s">
        <v>1123</v>
      </c>
      <c r="BK949" t="s">
        <v>139</v>
      </c>
      <c r="BL949" t="s">
        <v>1123</v>
      </c>
      <c r="BM949" t="s">
        <v>13444</v>
      </c>
      <c r="BN949">
        <v>15066793</v>
      </c>
      <c r="BO949" t="s">
        <v>329</v>
      </c>
      <c r="BP949" t="s">
        <v>74</v>
      </c>
      <c r="BQ949" t="s">
        <v>74</v>
      </c>
      <c r="BR949" t="s">
        <v>98</v>
      </c>
      <c r="BS949" t="s">
        <v>13445</v>
      </c>
      <c r="BT949" t="str">
        <f>HYPERLINK("https%3A%2F%2Fwww.webofscience.com%2Fwos%2Fwoscc%2Ffull-record%2FWOS:000220792200017","View Full Record in Web of Science")</f>
        <v>View Full Record in Web of Science</v>
      </c>
    </row>
    <row r="950" spans="1:72" x14ac:dyDescent="0.15">
      <c r="A950" t="s">
        <v>122</v>
      </c>
      <c r="B950" t="s">
        <v>13446</v>
      </c>
      <c r="C950" t="s">
        <v>74</v>
      </c>
      <c r="D950" t="s">
        <v>74</v>
      </c>
      <c r="E950" t="s">
        <v>74</v>
      </c>
      <c r="F950" t="s">
        <v>13446</v>
      </c>
      <c r="G950" t="s">
        <v>74</v>
      </c>
      <c r="H950" t="s">
        <v>74</v>
      </c>
      <c r="I950" t="s">
        <v>13447</v>
      </c>
      <c r="J950" t="s">
        <v>496</v>
      </c>
      <c r="K950" t="s">
        <v>74</v>
      </c>
      <c r="L950" t="s">
        <v>74</v>
      </c>
      <c r="M950" t="s">
        <v>79</v>
      </c>
      <c r="N950" t="s">
        <v>126</v>
      </c>
      <c r="O950" t="s">
        <v>74</v>
      </c>
      <c r="P950" t="s">
        <v>74</v>
      </c>
      <c r="Q950" t="s">
        <v>74</v>
      </c>
      <c r="R950" t="s">
        <v>74</v>
      </c>
      <c r="S950" t="s">
        <v>74</v>
      </c>
      <c r="T950" t="s">
        <v>13448</v>
      </c>
      <c r="U950" t="s">
        <v>13449</v>
      </c>
      <c r="V950" t="s">
        <v>13450</v>
      </c>
      <c r="W950" t="s">
        <v>13451</v>
      </c>
      <c r="X950" t="s">
        <v>5929</v>
      </c>
      <c r="Y950" t="s">
        <v>13452</v>
      </c>
      <c r="Z950" t="s">
        <v>13453</v>
      </c>
      <c r="AA950" t="s">
        <v>74</v>
      </c>
      <c r="AB950" t="s">
        <v>13454</v>
      </c>
      <c r="AC950" t="s">
        <v>74</v>
      </c>
      <c r="AD950" t="s">
        <v>74</v>
      </c>
      <c r="AE950" t="s">
        <v>74</v>
      </c>
      <c r="AF950" t="s">
        <v>74</v>
      </c>
      <c r="AG950">
        <v>62</v>
      </c>
      <c r="AH950">
        <v>19</v>
      </c>
      <c r="AI950">
        <v>22</v>
      </c>
      <c r="AJ950">
        <v>0</v>
      </c>
      <c r="AK950">
        <v>4</v>
      </c>
      <c r="AL950" t="s">
        <v>506</v>
      </c>
      <c r="AM950" t="s">
        <v>507</v>
      </c>
      <c r="AN950" t="s">
        <v>508</v>
      </c>
      <c r="AO950" t="s">
        <v>509</v>
      </c>
      <c r="AP950" t="s">
        <v>510</v>
      </c>
      <c r="AQ950" t="s">
        <v>74</v>
      </c>
      <c r="AR950" t="s">
        <v>511</v>
      </c>
      <c r="AS950" t="s">
        <v>512</v>
      </c>
      <c r="AT950" t="s">
        <v>13455</v>
      </c>
      <c r="AU950">
        <v>2004</v>
      </c>
      <c r="AV950">
        <v>35</v>
      </c>
      <c r="AW950">
        <v>1</v>
      </c>
      <c r="AX950" t="s">
        <v>74</v>
      </c>
      <c r="AY950" t="s">
        <v>74</v>
      </c>
      <c r="AZ950" t="s">
        <v>74</v>
      </c>
      <c r="BA950" t="s">
        <v>74</v>
      </c>
      <c r="BB950">
        <v>93</v>
      </c>
      <c r="BC950">
        <v>103</v>
      </c>
      <c r="BD950" t="s">
        <v>74</v>
      </c>
      <c r="BE950" t="s">
        <v>13456</v>
      </c>
      <c r="BF950" t="str">
        <f>HYPERLINK("http://dx.doi.org/10.3354/ame035093","http://dx.doi.org/10.3354/ame035093")</f>
        <v>http://dx.doi.org/10.3354/ame035093</v>
      </c>
      <c r="BG950" t="s">
        <v>74</v>
      </c>
      <c r="BH950" t="s">
        <v>74</v>
      </c>
      <c r="BI950">
        <v>11</v>
      </c>
      <c r="BJ950" t="s">
        <v>515</v>
      </c>
      <c r="BK950" t="s">
        <v>139</v>
      </c>
      <c r="BL950" t="s">
        <v>516</v>
      </c>
      <c r="BM950" t="s">
        <v>13457</v>
      </c>
      <c r="BN950" t="s">
        <v>74</v>
      </c>
      <c r="BO950" t="s">
        <v>273</v>
      </c>
      <c r="BP950" t="s">
        <v>74</v>
      </c>
      <c r="BQ950" t="s">
        <v>74</v>
      </c>
      <c r="BR950" t="s">
        <v>98</v>
      </c>
      <c r="BS950" t="s">
        <v>13458</v>
      </c>
      <c r="BT950" t="str">
        <f>HYPERLINK("https%3A%2F%2Fwww.webofscience.com%2Fwos%2Fwoscc%2Ffull-record%2FWOS:000221022900008","View Full Record in Web of Science")</f>
        <v>View Full Record in Web of Science</v>
      </c>
    </row>
    <row r="951" spans="1:72" x14ac:dyDescent="0.15">
      <c r="A951" t="s">
        <v>122</v>
      </c>
      <c r="B951" t="s">
        <v>13459</v>
      </c>
      <c r="C951" t="s">
        <v>74</v>
      </c>
      <c r="D951" t="s">
        <v>74</v>
      </c>
      <c r="E951" t="s">
        <v>74</v>
      </c>
      <c r="F951" t="s">
        <v>13459</v>
      </c>
      <c r="G951" t="s">
        <v>74</v>
      </c>
      <c r="H951" t="s">
        <v>74</v>
      </c>
      <c r="I951" t="s">
        <v>13460</v>
      </c>
      <c r="J951" t="s">
        <v>13461</v>
      </c>
      <c r="K951" t="s">
        <v>74</v>
      </c>
      <c r="L951" t="s">
        <v>74</v>
      </c>
      <c r="M951" t="s">
        <v>79</v>
      </c>
      <c r="N951" t="s">
        <v>126</v>
      </c>
      <c r="O951" t="s">
        <v>74</v>
      </c>
      <c r="P951" t="s">
        <v>74</v>
      </c>
      <c r="Q951" t="s">
        <v>74</v>
      </c>
      <c r="R951" t="s">
        <v>74</v>
      </c>
      <c r="S951" t="s">
        <v>74</v>
      </c>
      <c r="T951" t="s">
        <v>13462</v>
      </c>
      <c r="U951" t="s">
        <v>13463</v>
      </c>
      <c r="V951" t="s">
        <v>13464</v>
      </c>
      <c r="W951" t="s">
        <v>13465</v>
      </c>
      <c r="X951" t="s">
        <v>13466</v>
      </c>
      <c r="Y951" t="s">
        <v>13467</v>
      </c>
      <c r="Z951" t="s">
        <v>13468</v>
      </c>
      <c r="AA951" t="s">
        <v>74</v>
      </c>
      <c r="AB951" t="s">
        <v>74</v>
      </c>
      <c r="AC951" t="s">
        <v>74</v>
      </c>
      <c r="AD951" t="s">
        <v>74</v>
      </c>
      <c r="AE951" t="s">
        <v>74</v>
      </c>
      <c r="AF951" t="s">
        <v>74</v>
      </c>
      <c r="AG951">
        <v>42</v>
      </c>
      <c r="AH951">
        <v>18</v>
      </c>
      <c r="AI951">
        <v>19</v>
      </c>
      <c r="AJ951">
        <v>0</v>
      </c>
      <c r="AK951">
        <v>27</v>
      </c>
      <c r="AL951" t="s">
        <v>1418</v>
      </c>
      <c r="AM951" t="s">
        <v>1419</v>
      </c>
      <c r="AN951" t="s">
        <v>1420</v>
      </c>
      <c r="AO951" t="s">
        <v>13469</v>
      </c>
      <c r="AP951" t="s">
        <v>13470</v>
      </c>
      <c r="AQ951" t="s">
        <v>74</v>
      </c>
      <c r="AR951" t="s">
        <v>13471</v>
      </c>
      <c r="AS951" t="s">
        <v>13472</v>
      </c>
      <c r="AT951" t="s">
        <v>13430</v>
      </c>
      <c r="AU951">
        <v>2004</v>
      </c>
      <c r="AV951">
        <v>29</v>
      </c>
      <c r="AW951">
        <v>2</v>
      </c>
      <c r="AX951" t="s">
        <v>74</v>
      </c>
      <c r="AY951" t="s">
        <v>74</v>
      </c>
      <c r="AZ951" t="s">
        <v>74</v>
      </c>
      <c r="BA951" t="s">
        <v>74</v>
      </c>
      <c r="BB951">
        <v>215</v>
      </c>
      <c r="BC951">
        <v>224</v>
      </c>
      <c r="BD951" t="s">
        <v>74</v>
      </c>
      <c r="BE951" t="s">
        <v>13473</v>
      </c>
      <c r="BF951" t="str">
        <f>HYPERLINK("http://dx.doi.org/10.1111/j.1442-9993.2004.01341.x","http://dx.doi.org/10.1111/j.1442-9993.2004.01341.x")</f>
        <v>http://dx.doi.org/10.1111/j.1442-9993.2004.01341.x</v>
      </c>
      <c r="BG951" t="s">
        <v>74</v>
      </c>
      <c r="BH951" t="s">
        <v>74</v>
      </c>
      <c r="BI951">
        <v>10</v>
      </c>
      <c r="BJ951" t="s">
        <v>3165</v>
      </c>
      <c r="BK951" t="s">
        <v>139</v>
      </c>
      <c r="BL951" t="s">
        <v>1305</v>
      </c>
      <c r="BM951" t="s">
        <v>13474</v>
      </c>
      <c r="BN951" t="s">
        <v>74</v>
      </c>
      <c r="BO951" t="s">
        <v>74</v>
      </c>
      <c r="BP951" t="s">
        <v>74</v>
      </c>
      <c r="BQ951" t="s">
        <v>74</v>
      </c>
      <c r="BR951" t="s">
        <v>98</v>
      </c>
      <c r="BS951" t="s">
        <v>13475</v>
      </c>
      <c r="BT951" t="str">
        <f>HYPERLINK("https%3A%2F%2Fwww.webofscience.com%2Fwos%2Fwoscc%2Ffull-record%2FWOS:000220628300010","View Full Record in Web of Science")</f>
        <v>View Full Record in Web of Science</v>
      </c>
    </row>
    <row r="952" spans="1:72" x14ac:dyDescent="0.15">
      <c r="A952" t="s">
        <v>122</v>
      </c>
      <c r="B952" t="s">
        <v>13476</v>
      </c>
      <c r="C952" t="s">
        <v>74</v>
      </c>
      <c r="D952" t="s">
        <v>74</v>
      </c>
      <c r="E952" t="s">
        <v>74</v>
      </c>
      <c r="F952" t="s">
        <v>13476</v>
      </c>
      <c r="G952" t="s">
        <v>74</v>
      </c>
      <c r="H952" t="s">
        <v>74</v>
      </c>
      <c r="I952" t="s">
        <v>13477</v>
      </c>
      <c r="J952" t="s">
        <v>10697</v>
      </c>
      <c r="K952" t="s">
        <v>74</v>
      </c>
      <c r="L952" t="s">
        <v>74</v>
      </c>
      <c r="M952" t="s">
        <v>79</v>
      </c>
      <c r="N952" t="s">
        <v>126</v>
      </c>
      <c r="O952" t="s">
        <v>74</v>
      </c>
      <c r="P952" t="s">
        <v>74</v>
      </c>
      <c r="Q952" t="s">
        <v>74</v>
      </c>
      <c r="R952" t="s">
        <v>74</v>
      </c>
      <c r="S952" t="s">
        <v>74</v>
      </c>
      <c r="T952" t="s">
        <v>74</v>
      </c>
      <c r="U952" t="s">
        <v>13478</v>
      </c>
      <c r="V952" t="s">
        <v>13479</v>
      </c>
      <c r="W952" t="s">
        <v>13480</v>
      </c>
      <c r="X952" t="s">
        <v>13481</v>
      </c>
      <c r="Y952" t="s">
        <v>13482</v>
      </c>
      <c r="Z952" t="s">
        <v>13483</v>
      </c>
      <c r="AA952" t="s">
        <v>74</v>
      </c>
      <c r="AB952" t="s">
        <v>74</v>
      </c>
      <c r="AC952" t="s">
        <v>74</v>
      </c>
      <c r="AD952" t="s">
        <v>74</v>
      </c>
      <c r="AE952" t="s">
        <v>74</v>
      </c>
      <c r="AF952" t="s">
        <v>74</v>
      </c>
      <c r="AG952">
        <v>23</v>
      </c>
      <c r="AH952">
        <v>9</v>
      </c>
      <c r="AI952">
        <v>11</v>
      </c>
      <c r="AJ952">
        <v>0</v>
      </c>
      <c r="AK952">
        <v>7</v>
      </c>
      <c r="AL952" t="s">
        <v>8522</v>
      </c>
      <c r="AM952" t="s">
        <v>5719</v>
      </c>
      <c r="AN952" t="s">
        <v>8523</v>
      </c>
      <c r="AO952" t="s">
        <v>10706</v>
      </c>
      <c r="AP952" t="s">
        <v>10707</v>
      </c>
      <c r="AQ952" t="s">
        <v>74</v>
      </c>
      <c r="AR952" t="s">
        <v>10708</v>
      </c>
      <c r="AS952" t="s">
        <v>10709</v>
      </c>
      <c r="AT952" t="s">
        <v>13430</v>
      </c>
      <c r="AU952">
        <v>2004</v>
      </c>
      <c r="AV952">
        <v>61</v>
      </c>
      <c r="AW952">
        <v>4</v>
      </c>
      <c r="AX952" t="s">
        <v>74</v>
      </c>
      <c r="AY952" t="s">
        <v>74</v>
      </c>
      <c r="AZ952" t="s">
        <v>74</v>
      </c>
      <c r="BA952" t="s">
        <v>74</v>
      </c>
      <c r="BB952">
        <v>554</v>
      </c>
      <c r="BC952">
        <v>560</v>
      </c>
      <c r="BD952" t="s">
        <v>74</v>
      </c>
      <c r="BE952" t="s">
        <v>13484</v>
      </c>
      <c r="BF952" t="str">
        <f>HYPERLINK("http://dx.doi.org/10.1139/F04-021","http://dx.doi.org/10.1139/F04-021")</f>
        <v>http://dx.doi.org/10.1139/F04-021</v>
      </c>
      <c r="BG952" t="s">
        <v>74</v>
      </c>
      <c r="BH952" t="s">
        <v>74</v>
      </c>
      <c r="BI952">
        <v>7</v>
      </c>
      <c r="BJ952" t="s">
        <v>6312</v>
      </c>
      <c r="BK952" t="s">
        <v>139</v>
      </c>
      <c r="BL952" t="s">
        <v>6312</v>
      </c>
      <c r="BM952" t="s">
        <v>13485</v>
      </c>
      <c r="BN952" t="s">
        <v>74</v>
      </c>
      <c r="BO952" t="s">
        <v>74</v>
      </c>
      <c r="BP952" t="s">
        <v>74</v>
      </c>
      <c r="BQ952" t="s">
        <v>74</v>
      </c>
      <c r="BR952" t="s">
        <v>98</v>
      </c>
      <c r="BS952" t="s">
        <v>13486</v>
      </c>
      <c r="BT952" t="str">
        <f>HYPERLINK("https%3A%2F%2Fwww.webofscience.com%2Fwos%2Fwoscc%2Ffull-record%2FWOS:000222019600007","View Full Record in Web of Science")</f>
        <v>View Full Record in Web of Science</v>
      </c>
    </row>
    <row r="953" spans="1:72" x14ac:dyDescent="0.15">
      <c r="A953" t="s">
        <v>122</v>
      </c>
      <c r="B953" t="s">
        <v>13487</v>
      </c>
      <c r="C953" t="s">
        <v>74</v>
      </c>
      <c r="D953" t="s">
        <v>74</v>
      </c>
      <c r="E953" t="s">
        <v>74</v>
      </c>
      <c r="F953" t="s">
        <v>13487</v>
      </c>
      <c r="G953" t="s">
        <v>74</v>
      </c>
      <c r="H953" t="s">
        <v>74</v>
      </c>
      <c r="I953" t="s">
        <v>13488</v>
      </c>
      <c r="J953" t="s">
        <v>13489</v>
      </c>
      <c r="K953" t="s">
        <v>74</v>
      </c>
      <c r="L953" t="s">
        <v>74</v>
      </c>
      <c r="M953" t="s">
        <v>79</v>
      </c>
      <c r="N953" t="s">
        <v>126</v>
      </c>
      <c r="O953" t="s">
        <v>74</v>
      </c>
      <c r="P953" t="s">
        <v>74</v>
      </c>
      <c r="Q953" t="s">
        <v>74</v>
      </c>
      <c r="R953" t="s">
        <v>74</v>
      </c>
      <c r="S953" t="s">
        <v>74</v>
      </c>
      <c r="T953" t="s">
        <v>13490</v>
      </c>
      <c r="U953" t="s">
        <v>13491</v>
      </c>
      <c r="V953" t="s">
        <v>13492</v>
      </c>
      <c r="W953" t="s">
        <v>13493</v>
      </c>
      <c r="X953" t="s">
        <v>13494</v>
      </c>
      <c r="Y953" t="s">
        <v>13495</v>
      </c>
      <c r="Z953" t="s">
        <v>13496</v>
      </c>
      <c r="AA953" t="s">
        <v>74</v>
      </c>
      <c r="AB953" t="s">
        <v>74</v>
      </c>
      <c r="AC953" t="s">
        <v>74</v>
      </c>
      <c r="AD953" t="s">
        <v>74</v>
      </c>
      <c r="AE953" t="s">
        <v>74</v>
      </c>
      <c r="AF953" t="s">
        <v>74</v>
      </c>
      <c r="AG953">
        <v>14</v>
      </c>
      <c r="AH953">
        <v>5</v>
      </c>
      <c r="AI953">
        <v>5</v>
      </c>
      <c r="AJ953">
        <v>0</v>
      </c>
      <c r="AK953">
        <v>9</v>
      </c>
      <c r="AL953" t="s">
        <v>4474</v>
      </c>
      <c r="AM953" t="s">
        <v>4475</v>
      </c>
      <c r="AN953" t="s">
        <v>4476</v>
      </c>
      <c r="AO953" t="s">
        <v>13497</v>
      </c>
      <c r="AP953" t="s">
        <v>74</v>
      </c>
      <c r="AQ953" t="s">
        <v>74</v>
      </c>
      <c r="AR953" t="s">
        <v>13498</v>
      </c>
      <c r="AS953" t="s">
        <v>13499</v>
      </c>
      <c r="AT953" t="s">
        <v>13430</v>
      </c>
      <c r="AU953">
        <v>2004</v>
      </c>
      <c r="AV953">
        <v>4</v>
      </c>
      <c r="AW953">
        <v>2</v>
      </c>
      <c r="AX953" t="s">
        <v>74</v>
      </c>
      <c r="AY953" t="s">
        <v>74</v>
      </c>
      <c r="AZ953" t="s">
        <v>74</v>
      </c>
      <c r="BA953" t="s">
        <v>74</v>
      </c>
      <c r="BB953">
        <v>166</v>
      </c>
      <c r="BC953">
        <v>175</v>
      </c>
      <c r="BD953" t="s">
        <v>74</v>
      </c>
      <c r="BE953" t="s">
        <v>13500</v>
      </c>
      <c r="BF953" t="str">
        <f>HYPERLINK("http://dx.doi.org/10.1088/1009-9271/4/2/166","http://dx.doi.org/10.1088/1009-9271/4/2/166")</f>
        <v>http://dx.doi.org/10.1088/1009-9271/4/2/166</v>
      </c>
      <c r="BG953" t="s">
        <v>74</v>
      </c>
      <c r="BH953" t="s">
        <v>74</v>
      </c>
      <c r="BI953">
        <v>10</v>
      </c>
      <c r="BJ953" t="s">
        <v>491</v>
      </c>
      <c r="BK953" t="s">
        <v>139</v>
      </c>
      <c r="BL953" t="s">
        <v>491</v>
      </c>
      <c r="BM953" t="s">
        <v>13501</v>
      </c>
      <c r="BN953" t="s">
        <v>74</v>
      </c>
      <c r="BO953" t="s">
        <v>74</v>
      </c>
      <c r="BP953" t="s">
        <v>74</v>
      </c>
      <c r="BQ953" t="s">
        <v>74</v>
      </c>
      <c r="BR953" t="s">
        <v>98</v>
      </c>
      <c r="BS953" t="s">
        <v>13502</v>
      </c>
      <c r="BT953" t="str">
        <f>HYPERLINK("https%3A%2F%2Fwww.webofscience.com%2Fwos%2Fwoscc%2Ffull-record%2FWOS:000221037700007","View Full Record in Web of Science")</f>
        <v>View Full Record in Web of Science</v>
      </c>
    </row>
    <row r="954" spans="1:72" x14ac:dyDescent="0.15">
      <c r="A954" t="s">
        <v>122</v>
      </c>
      <c r="B954" t="s">
        <v>13503</v>
      </c>
      <c r="C954" t="s">
        <v>74</v>
      </c>
      <c r="D954" t="s">
        <v>74</v>
      </c>
      <c r="E954" t="s">
        <v>74</v>
      </c>
      <c r="F954" t="s">
        <v>13503</v>
      </c>
      <c r="G954" t="s">
        <v>74</v>
      </c>
      <c r="H954" t="s">
        <v>74</v>
      </c>
      <c r="I954" t="s">
        <v>13504</v>
      </c>
      <c r="J954" t="s">
        <v>2993</v>
      </c>
      <c r="K954" t="s">
        <v>74</v>
      </c>
      <c r="L954" t="s">
        <v>74</v>
      </c>
      <c r="M954" t="s">
        <v>79</v>
      </c>
      <c r="N954" t="s">
        <v>126</v>
      </c>
      <c r="O954" t="s">
        <v>74</v>
      </c>
      <c r="P954" t="s">
        <v>74</v>
      </c>
      <c r="Q954" t="s">
        <v>74</v>
      </c>
      <c r="R954" t="s">
        <v>74</v>
      </c>
      <c r="S954" t="s">
        <v>74</v>
      </c>
      <c r="T954" t="s">
        <v>74</v>
      </c>
      <c r="U954" t="s">
        <v>13505</v>
      </c>
      <c r="V954" t="s">
        <v>13506</v>
      </c>
      <c r="W954" t="s">
        <v>13507</v>
      </c>
      <c r="X954" t="s">
        <v>13508</v>
      </c>
      <c r="Y954" t="s">
        <v>13509</v>
      </c>
      <c r="Z954" t="s">
        <v>13510</v>
      </c>
      <c r="AA954" t="s">
        <v>74</v>
      </c>
      <c r="AB954" t="s">
        <v>74</v>
      </c>
      <c r="AC954" t="s">
        <v>74</v>
      </c>
      <c r="AD954" t="s">
        <v>74</v>
      </c>
      <c r="AE954" t="s">
        <v>74</v>
      </c>
      <c r="AF954" t="s">
        <v>74</v>
      </c>
      <c r="AG954">
        <v>74</v>
      </c>
      <c r="AH954">
        <v>13</v>
      </c>
      <c r="AI954">
        <v>14</v>
      </c>
      <c r="AJ954">
        <v>4</v>
      </c>
      <c r="AK954">
        <v>32</v>
      </c>
      <c r="AL954" t="s">
        <v>1509</v>
      </c>
      <c r="AM954" t="s">
        <v>1510</v>
      </c>
      <c r="AN954" t="s">
        <v>1511</v>
      </c>
      <c r="AO954" t="s">
        <v>3000</v>
      </c>
      <c r="AP954" t="s">
        <v>5810</v>
      </c>
      <c r="AQ954" t="s">
        <v>74</v>
      </c>
      <c r="AR954" t="s">
        <v>2993</v>
      </c>
      <c r="AS954" t="s">
        <v>3001</v>
      </c>
      <c r="AT954" t="s">
        <v>13430</v>
      </c>
      <c r="AU954">
        <v>2004</v>
      </c>
      <c r="AV954">
        <v>63</v>
      </c>
      <c r="AW954">
        <v>3</v>
      </c>
      <c r="AX954" t="s">
        <v>74</v>
      </c>
      <c r="AY954" t="s">
        <v>74</v>
      </c>
      <c r="AZ954" t="s">
        <v>74</v>
      </c>
      <c r="BA954" t="s">
        <v>74</v>
      </c>
      <c r="BB954">
        <v>259</v>
      </c>
      <c r="BC954">
        <v>290</v>
      </c>
      <c r="BD954" t="s">
        <v>74</v>
      </c>
      <c r="BE954" t="s">
        <v>13511</v>
      </c>
      <c r="BF954" t="str">
        <f>HYPERLINK("http://dx.doi.org/10.1023/B:CLIM.0000018511.36935.e0","http://dx.doi.org/10.1023/B:CLIM.0000018511.36935.e0")</f>
        <v>http://dx.doi.org/10.1023/B:CLIM.0000018511.36935.e0</v>
      </c>
      <c r="BG954" t="s">
        <v>74</v>
      </c>
      <c r="BH954" t="s">
        <v>74</v>
      </c>
      <c r="BI954">
        <v>32</v>
      </c>
      <c r="BJ954" t="s">
        <v>832</v>
      </c>
      <c r="BK954" t="s">
        <v>139</v>
      </c>
      <c r="BL954" t="s">
        <v>833</v>
      </c>
      <c r="BM954" t="s">
        <v>13512</v>
      </c>
      <c r="BN954" t="s">
        <v>74</v>
      </c>
      <c r="BO954" t="s">
        <v>988</v>
      </c>
      <c r="BP954" t="s">
        <v>74</v>
      </c>
      <c r="BQ954" t="s">
        <v>74</v>
      </c>
      <c r="BR954" t="s">
        <v>98</v>
      </c>
      <c r="BS954" t="s">
        <v>13513</v>
      </c>
      <c r="BT954" t="str">
        <f>HYPERLINK("https%3A%2F%2Fwww.webofscience.com%2Fwos%2Fwoscc%2Ffull-record%2FWOS:000220005400002","View Full Record in Web of Science")</f>
        <v>View Full Record in Web of Science</v>
      </c>
    </row>
    <row r="955" spans="1:72" x14ac:dyDescent="0.15">
      <c r="A955" t="s">
        <v>122</v>
      </c>
      <c r="B955" t="s">
        <v>13514</v>
      </c>
      <c r="C955" t="s">
        <v>74</v>
      </c>
      <c r="D955" t="s">
        <v>74</v>
      </c>
      <c r="E955" t="s">
        <v>74</v>
      </c>
      <c r="F955" t="s">
        <v>13514</v>
      </c>
      <c r="G955" t="s">
        <v>74</v>
      </c>
      <c r="H955" t="s">
        <v>74</v>
      </c>
      <c r="I955" t="s">
        <v>13515</v>
      </c>
      <c r="J955" t="s">
        <v>13516</v>
      </c>
      <c r="K955" t="s">
        <v>74</v>
      </c>
      <c r="L955" t="s">
        <v>74</v>
      </c>
      <c r="M955" t="s">
        <v>79</v>
      </c>
      <c r="N955" t="s">
        <v>126</v>
      </c>
      <c r="O955" t="s">
        <v>74</v>
      </c>
      <c r="P955" t="s">
        <v>74</v>
      </c>
      <c r="Q955" t="s">
        <v>74</v>
      </c>
      <c r="R955" t="s">
        <v>74</v>
      </c>
      <c r="S955" t="s">
        <v>74</v>
      </c>
      <c r="T955" t="s">
        <v>13517</v>
      </c>
      <c r="U955" t="s">
        <v>13518</v>
      </c>
      <c r="V955" t="s">
        <v>13519</v>
      </c>
      <c r="W955" t="s">
        <v>13520</v>
      </c>
      <c r="X955" t="s">
        <v>13521</v>
      </c>
      <c r="Y955" t="s">
        <v>502</v>
      </c>
      <c r="Z955" t="s">
        <v>4673</v>
      </c>
      <c r="AA955" t="s">
        <v>13522</v>
      </c>
      <c r="AB955" t="s">
        <v>13523</v>
      </c>
      <c r="AC955" t="s">
        <v>74</v>
      </c>
      <c r="AD955" t="s">
        <v>74</v>
      </c>
      <c r="AE955" t="s">
        <v>74</v>
      </c>
      <c r="AF955" t="s">
        <v>74</v>
      </c>
      <c r="AG955">
        <v>46</v>
      </c>
      <c r="AH955">
        <v>32</v>
      </c>
      <c r="AI955">
        <v>36</v>
      </c>
      <c r="AJ955">
        <v>0</v>
      </c>
      <c r="AK955">
        <v>13</v>
      </c>
      <c r="AL955" t="s">
        <v>13524</v>
      </c>
      <c r="AM955" t="s">
        <v>375</v>
      </c>
      <c r="AN955" t="s">
        <v>13525</v>
      </c>
      <c r="AO955" t="s">
        <v>13526</v>
      </c>
      <c r="AP955" t="s">
        <v>13527</v>
      </c>
      <c r="AQ955" t="s">
        <v>74</v>
      </c>
      <c r="AR955" t="s">
        <v>13528</v>
      </c>
      <c r="AS955" t="s">
        <v>13529</v>
      </c>
      <c r="AT955" t="s">
        <v>13430</v>
      </c>
      <c r="AU955">
        <v>2004</v>
      </c>
      <c r="AV955">
        <v>5</v>
      </c>
      <c r="AW955">
        <v>3</v>
      </c>
      <c r="AX955" t="s">
        <v>74</v>
      </c>
      <c r="AY955" t="s">
        <v>74</v>
      </c>
      <c r="AZ955" t="s">
        <v>74</v>
      </c>
      <c r="BA955" t="s">
        <v>74</v>
      </c>
      <c r="BB955">
        <v>230</v>
      </c>
      <c r="BC955">
        <v>238</v>
      </c>
      <c r="BD955" t="s">
        <v>74</v>
      </c>
      <c r="BE955" t="s">
        <v>13530</v>
      </c>
      <c r="BF955" t="str">
        <f>HYPERLINK("http://dx.doi.org/10.1002/cfg.398","http://dx.doi.org/10.1002/cfg.398")</f>
        <v>http://dx.doi.org/10.1002/cfg.398</v>
      </c>
      <c r="BG955" t="s">
        <v>74</v>
      </c>
      <c r="BH955" t="s">
        <v>74</v>
      </c>
      <c r="BI955">
        <v>9</v>
      </c>
      <c r="BJ955" t="s">
        <v>13531</v>
      </c>
      <c r="BK955" t="s">
        <v>139</v>
      </c>
      <c r="BL955" t="s">
        <v>13531</v>
      </c>
      <c r="BM955" t="s">
        <v>13532</v>
      </c>
      <c r="BN955">
        <v>18629155</v>
      </c>
      <c r="BO955" t="s">
        <v>13533</v>
      </c>
      <c r="BP955" t="s">
        <v>74</v>
      </c>
      <c r="BQ955" t="s">
        <v>74</v>
      </c>
      <c r="BR955" t="s">
        <v>98</v>
      </c>
      <c r="BS955" t="s">
        <v>13534</v>
      </c>
      <c r="BT955" t="str">
        <f>HYPERLINK("https%3A%2F%2Fwww.webofscience.com%2Fwos%2Fwoscc%2Ffull-record%2FWOS:000221783900003","View Full Record in Web of Science")</f>
        <v>View Full Record in Web of Science</v>
      </c>
    </row>
    <row r="956" spans="1:72" x14ac:dyDescent="0.15">
      <c r="A956" t="s">
        <v>122</v>
      </c>
      <c r="B956" t="s">
        <v>13535</v>
      </c>
      <c r="C956" t="s">
        <v>74</v>
      </c>
      <c r="D956" t="s">
        <v>74</v>
      </c>
      <c r="E956" t="s">
        <v>74</v>
      </c>
      <c r="F956" t="s">
        <v>13535</v>
      </c>
      <c r="G956" t="s">
        <v>74</v>
      </c>
      <c r="H956" t="s">
        <v>74</v>
      </c>
      <c r="I956" t="s">
        <v>13536</v>
      </c>
      <c r="J956" t="s">
        <v>13537</v>
      </c>
      <c r="K956" t="s">
        <v>74</v>
      </c>
      <c r="L956" t="s">
        <v>74</v>
      </c>
      <c r="M956" t="s">
        <v>79</v>
      </c>
      <c r="N956" t="s">
        <v>581</v>
      </c>
      <c r="O956" t="s">
        <v>74</v>
      </c>
      <c r="P956" t="s">
        <v>74</v>
      </c>
      <c r="Q956" t="s">
        <v>74</v>
      </c>
      <c r="R956" t="s">
        <v>74</v>
      </c>
      <c r="S956" t="s">
        <v>74</v>
      </c>
      <c r="T956" t="s">
        <v>13538</v>
      </c>
      <c r="U956" t="s">
        <v>13539</v>
      </c>
      <c r="V956" t="s">
        <v>13540</v>
      </c>
      <c r="W956" t="s">
        <v>13541</v>
      </c>
      <c r="X956" t="s">
        <v>13542</v>
      </c>
      <c r="Y956" t="s">
        <v>13543</v>
      </c>
      <c r="Z956" t="s">
        <v>13544</v>
      </c>
      <c r="AA956" t="s">
        <v>13545</v>
      </c>
      <c r="AB956" t="s">
        <v>13546</v>
      </c>
      <c r="AC956" t="s">
        <v>74</v>
      </c>
      <c r="AD956" t="s">
        <v>74</v>
      </c>
      <c r="AE956" t="s">
        <v>74</v>
      </c>
      <c r="AF956" t="s">
        <v>74</v>
      </c>
      <c r="AG956">
        <v>105</v>
      </c>
      <c r="AH956">
        <v>329</v>
      </c>
      <c r="AI956">
        <v>379</v>
      </c>
      <c r="AJ956">
        <v>7</v>
      </c>
      <c r="AK956">
        <v>249</v>
      </c>
      <c r="AL956" t="s">
        <v>1418</v>
      </c>
      <c r="AM956" t="s">
        <v>1419</v>
      </c>
      <c r="AN956" t="s">
        <v>1420</v>
      </c>
      <c r="AO956" t="s">
        <v>13547</v>
      </c>
      <c r="AP956" t="s">
        <v>13548</v>
      </c>
      <c r="AQ956" t="s">
        <v>74</v>
      </c>
      <c r="AR956" t="s">
        <v>13549</v>
      </c>
      <c r="AS956" t="s">
        <v>13550</v>
      </c>
      <c r="AT956" t="s">
        <v>13430</v>
      </c>
      <c r="AU956">
        <v>2004</v>
      </c>
      <c r="AV956">
        <v>18</v>
      </c>
      <c r="AW956">
        <v>2</v>
      </c>
      <c r="AX956" t="s">
        <v>74</v>
      </c>
      <c r="AY956" t="s">
        <v>74</v>
      </c>
      <c r="AZ956" t="s">
        <v>74</v>
      </c>
      <c r="BA956" t="s">
        <v>74</v>
      </c>
      <c r="BB956">
        <v>310</v>
      </c>
      <c r="BC956">
        <v>319</v>
      </c>
      <c r="BD956" t="s">
        <v>74</v>
      </c>
      <c r="BE956" t="s">
        <v>13551</v>
      </c>
      <c r="BF956" t="str">
        <f>HYPERLINK("http://dx.doi.org/10.1111/j.1523-1739.2004.00442.x","http://dx.doi.org/10.1111/j.1523-1739.2004.00442.x")</f>
        <v>http://dx.doi.org/10.1111/j.1523-1739.2004.00442.x</v>
      </c>
      <c r="BG956" t="s">
        <v>74</v>
      </c>
      <c r="BH956" t="s">
        <v>74</v>
      </c>
      <c r="BI956">
        <v>10</v>
      </c>
      <c r="BJ956" t="s">
        <v>1336</v>
      </c>
      <c r="BK956" t="s">
        <v>139</v>
      </c>
      <c r="BL956" t="s">
        <v>1337</v>
      </c>
      <c r="BM956" t="s">
        <v>13552</v>
      </c>
      <c r="BN956" t="s">
        <v>74</v>
      </c>
      <c r="BO956" t="s">
        <v>988</v>
      </c>
      <c r="BP956" t="s">
        <v>74</v>
      </c>
      <c r="BQ956" t="s">
        <v>74</v>
      </c>
      <c r="BR956" t="s">
        <v>98</v>
      </c>
      <c r="BS956" t="s">
        <v>13553</v>
      </c>
      <c r="BT956" t="str">
        <f>HYPERLINK("https%3A%2F%2Fwww.webofscience.com%2Fwos%2Fwoscc%2Ffull-record%2FWOS:000220567300007","View Full Record in Web of Science")</f>
        <v>View Full Record in Web of Science</v>
      </c>
    </row>
    <row r="957" spans="1:72" x14ac:dyDescent="0.15">
      <c r="A957" t="s">
        <v>122</v>
      </c>
      <c r="B957" t="s">
        <v>13554</v>
      </c>
      <c r="C957" t="s">
        <v>74</v>
      </c>
      <c r="D957" t="s">
        <v>74</v>
      </c>
      <c r="E957" t="s">
        <v>74</v>
      </c>
      <c r="F957" t="s">
        <v>13554</v>
      </c>
      <c r="G957" t="s">
        <v>74</v>
      </c>
      <c r="H957" t="s">
        <v>74</v>
      </c>
      <c r="I957" t="s">
        <v>13555</v>
      </c>
      <c r="J957" t="s">
        <v>13556</v>
      </c>
      <c r="K957" t="s">
        <v>74</v>
      </c>
      <c r="L957" t="s">
        <v>74</v>
      </c>
      <c r="M957" t="s">
        <v>79</v>
      </c>
      <c r="N957" t="s">
        <v>1129</v>
      </c>
      <c r="O957" t="s">
        <v>13557</v>
      </c>
      <c r="P957" t="s">
        <v>13558</v>
      </c>
      <c r="Q957" t="s">
        <v>13559</v>
      </c>
      <c r="R957" t="s">
        <v>74</v>
      </c>
      <c r="S957" t="s">
        <v>13560</v>
      </c>
      <c r="T957" t="s">
        <v>13561</v>
      </c>
      <c r="U957" t="s">
        <v>13562</v>
      </c>
      <c r="V957" t="s">
        <v>13563</v>
      </c>
      <c r="W957" t="s">
        <v>13564</v>
      </c>
      <c r="X957" t="s">
        <v>13565</v>
      </c>
      <c r="Y957" t="s">
        <v>13566</v>
      </c>
      <c r="Z957" t="s">
        <v>13567</v>
      </c>
      <c r="AA957" t="s">
        <v>13568</v>
      </c>
      <c r="AB957" t="s">
        <v>13569</v>
      </c>
      <c r="AC957" t="s">
        <v>74</v>
      </c>
      <c r="AD957" t="s">
        <v>74</v>
      </c>
      <c r="AE957" t="s">
        <v>74</v>
      </c>
      <c r="AF957" t="s">
        <v>74</v>
      </c>
      <c r="AG957">
        <v>29</v>
      </c>
      <c r="AH957">
        <v>68</v>
      </c>
      <c r="AI957">
        <v>78</v>
      </c>
      <c r="AJ957">
        <v>1</v>
      </c>
      <c r="AK957">
        <v>51</v>
      </c>
      <c r="AL957" t="s">
        <v>3760</v>
      </c>
      <c r="AM957" t="s">
        <v>3761</v>
      </c>
      <c r="AN957" t="s">
        <v>3762</v>
      </c>
      <c r="AO957" t="s">
        <v>13570</v>
      </c>
      <c r="AP957" t="s">
        <v>13571</v>
      </c>
      <c r="AQ957" t="s">
        <v>74</v>
      </c>
      <c r="AR957" t="s">
        <v>13556</v>
      </c>
      <c r="AS957" t="s">
        <v>13572</v>
      </c>
      <c r="AT957" t="s">
        <v>13430</v>
      </c>
      <c r="AU957">
        <v>2004</v>
      </c>
      <c r="AV957">
        <v>48</v>
      </c>
      <c r="AW957">
        <v>2</v>
      </c>
      <c r="AX957" t="s">
        <v>74</v>
      </c>
      <c r="AY957" t="s">
        <v>74</v>
      </c>
      <c r="AZ957" t="s">
        <v>74</v>
      </c>
      <c r="BA957" t="s">
        <v>74</v>
      </c>
      <c r="BB957">
        <v>103</v>
      </c>
      <c r="BC957">
        <v>112</v>
      </c>
      <c r="BD957" t="s">
        <v>74</v>
      </c>
      <c r="BE957" t="s">
        <v>13573</v>
      </c>
      <c r="BF957" t="str">
        <f>HYPERLINK("http://dx.doi.org/10.1016/j.cryobiol.2004.01.006","http://dx.doi.org/10.1016/j.cryobiol.2004.01.006")</f>
        <v>http://dx.doi.org/10.1016/j.cryobiol.2004.01.006</v>
      </c>
      <c r="BG957" t="s">
        <v>74</v>
      </c>
      <c r="BH957" t="s">
        <v>74</v>
      </c>
      <c r="BI957">
        <v>10</v>
      </c>
      <c r="BJ957" t="s">
        <v>5919</v>
      </c>
      <c r="BK957" t="s">
        <v>1257</v>
      </c>
      <c r="BL957" t="s">
        <v>5920</v>
      </c>
      <c r="BM957" t="s">
        <v>13574</v>
      </c>
      <c r="BN957">
        <v>15094087</v>
      </c>
      <c r="BO957" t="s">
        <v>74</v>
      </c>
      <c r="BP957" t="s">
        <v>74</v>
      </c>
      <c r="BQ957" t="s">
        <v>74</v>
      </c>
      <c r="BR957" t="s">
        <v>98</v>
      </c>
      <c r="BS957" t="s">
        <v>13575</v>
      </c>
      <c r="BT957" t="str">
        <f>HYPERLINK("https%3A%2F%2Fwww.webofscience.com%2Fwos%2Fwoscc%2Ffull-record%2FWOS:000221214500002","View Full Record in Web of Science")</f>
        <v>View Full Record in Web of Science</v>
      </c>
    </row>
    <row r="958" spans="1:72" x14ac:dyDescent="0.15">
      <c r="A958" t="s">
        <v>122</v>
      </c>
      <c r="B958" t="s">
        <v>13576</v>
      </c>
      <c r="C958" t="s">
        <v>74</v>
      </c>
      <c r="D958" t="s">
        <v>74</v>
      </c>
      <c r="E958" t="s">
        <v>74</v>
      </c>
      <c r="F958" t="s">
        <v>13576</v>
      </c>
      <c r="G958" t="s">
        <v>74</v>
      </c>
      <c r="H958" t="s">
        <v>74</v>
      </c>
      <c r="I958" t="s">
        <v>13577</v>
      </c>
      <c r="J958" t="s">
        <v>13578</v>
      </c>
      <c r="K958" t="s">
        <v>74</v>
      </c>
      <c r="L958" t="s">
        <v>74</v>
      </c>
      <c r="M958" t="s">
        <v>79</v>
      </c>
      <c r="N958" t="s">
        <v>126</v>
      </c>
      <c r="O958" t="s">
        <v>74</v>
      </c>
      <c r="P958" t="s">
        <v>74</v>
      </c>
      <c r="Q958" t="s">
        <v>74</v>
      </c>
      <c r="R958" t="s">
        <v>74</v>
      </c>
      <c r="S958" t="s">
        <v>74</v>
      </c>
      <c r="T958" t="s">
        <v>13579</v>
      </c>
      <c r="U958" t="s">
        <v>13580</v>
      </c>
      <c r="V958" t="s">
        <v>13581</v>
      </c>
      <c r="W958" t="s">
        <v>13582</v>
      </c>
      <c r="X958" t="s">
        <v>5893</v>
      </c>
      <c r="Y958" t="s">
        <v>13583</v>
      </c>
      <c r="Z958" t="s">
        <v>13584</v>
      </c>
      <c r="AA958" t="s">
        <v>74</v>
      </c>
      <c r="AB958" t="s">
        <v>13585</v>
      </c>
      <c r="AC958" t="s">
        <v>74</v>
      </c>
      <c r="AD958" t="s">
        <v>74</v>
      </c>
      <c r="AE958" t="s">
        <v>74</v>
      </c>
      <c r="AF958" t="s">
        <v>74</v>
      </c>
      <c r="AG958">
        <v>8</v>
      </c>
      <c r="AH958">
        <v>11</v>
      </c>
      <c r="AI958">
        <v>11</v>
      </c>
      <c r="AJ958">
        <v>0</v>
      </c>
      <c r="AK958">
        <v>0</v>
      </c>
      <c r="AL958" t="s">
        <v>4508</v>
      </c>
      <c r="AM958" t="s">
        <v>4509</v>
      </c>
      <c r="AN958" t="s">
        <v>4510</v>
      </c>
      <c r="AO958" t="s">
        <v>13586</v>
      </c>
      <c r="AP958" t="s">
        <v>74</v>
      </c>
      <c r="AQ958" t="s">
        <v>74</v>
      </c>
      <c r="AR958" t="s">
        <v>13587</v>
      </c>
      <c r="AS958" t="s">
        <v>13588</v>
      </c>
      <c r="AT958" t="s">
        <v>13589</v>
      </c>
      <c r="AU958">
        <v>2004</v>
      </c>
      <c r="AV958">
        <v>25</v>
      </c>
      <c r="AW958">
        <v>2</v>
      </c>
      <c r="AX958" t="s">
        <v>74</v>
      </c>
      <c r="AY958" t="s">
        <v>74</v>
      </c>
      <c r="AZ958" t="s">
        <v>74</v>
      </c>
      <c r="BA958" t="s">
        <v>74</v>
      </c>
      <c r="BB958">
        <v>125</v>
      </c>
      <c r="BC958">
        <v>130</v>
      </c>
      <c r="BD958" t="s">
        <v>74</v>
      </c>
      <c r="BE958" t="s">
        <v>74</v>
      </c>
      <c r="BF958" t="s">
        <v>74</v>
      </c>
      <c r="BG958" t="s">
        <v>74</v>
      </c>
      <c r="BH958" t="s">
        <v>74</v>
      </c>
      <c r="BI958">
        <v>6</v>
      </c>
      <c r="BJ958" t="s">
        <v>912</v>
      </c>
      <c r="BK958" t="s">
        <v>139</v>
      </c>
      <c r="BL958" t="s">
        <v>912</v>
      </c>
      <c r="BM958" t="s">
        <v>13590</v>
      </c>
      <c r="BN958" t="s">
        <v>74</v>
      </c>
      <c r="BO958" t="s">
        <v>74</v>
      </c>
      <c r="BP958" t="s">
        <v>74</v>
      </c>
      <c r="BQ958" t="s">
        <v>74</v>
      </c>
      <c r="BR958" t="s">
        <v>98</v>
      </c>
      <c r="BS958" t="s">
        <v>13591</v>
      </c>
      <c r="BT958" t="str">
        <f>HYPERLINK("https%3A%2F%2Fwww.webofscience.com%2Fwos%2Fwoscc%2Ffull-record%2FWOS:000221787600003","View Full Record in Web of Science")</f>
        <v>View Full Record in Web of Science</v>
      </c>
    </row>
    <row r="959" spans="1:72" x14ac:dyDescent="0.15">
      <c r="A959" t="s">
        <v>122</v>
      </c>
      <c r="B959" t="s">
        <v>13592</v>
      </c>
      <c r="C959" t="s">
        <v>74</v>
      </c>
      <c r="D959" t="s">
        <v>74</v>
      </c>
      <c r="E959" t="s">
        <v>74</v>
      </c>
      <c r="F959" t="s">
        <v>13592</v>
      </c>
      <c r="G959" t="s">
        <v>74</v>
      </c>
      <c r="H959" t="s">
        <v>74</v>
      </c>
      <c r="I959" t="s">
        <v>13593</v>
      </c>
      <c r="J959" t="s">
        <v>1263</v>
      </c>
      <c r="K959" t="s">
        <v>74</v>
      </c>
      <c r="L959" t="s">
        <v>74</v>
      </c>
      <c r="M959" t="s">
        <v>79</v>
      </c>
      <c r="N959" t="s">
        <v>126</v>
      </c>
      <c r="O959" t="s">
        <v>74</v>
      </c>
      <c r="P959" t="s">
        <v>74</v>
      </c>
      <c r="Q959" t="s">
        <v>74</v>
      </c>
      <c r="R959" t="s">
        <v>74</v>
      </c>
      <c r="S959" t="s">
        <v>74</v>
      </c>
      <c r="T959" t="s">
        <v>13594</v>
      </c>
      <c r="U959" t="s">
        <v>13595</v>
      </c>
      <c r="V959" t="s">
        <v>13596</v>
      </c>
      <c r="W959" t="s">
        <v>13597</v>
      </c>
      <c r="X959" t="s">
        <v>12737</v>
      </c>
      <c r="Y959" t="s">
        <v>13598</v>
      </c>
      <c r="Z959" t="s">
        <v>13599</v>
      </c>
      <c r="AA959" t="s">
        <v>74</v>
      </c>
      <c r="AB959" t="s">
        <v>74</v>
      </c>
      <c r="AC959" t="s">
        <v>74</v>
      </c>
      <c r="AD959" t="s">
        <v>74</v>
      </c>
      <c r="AE959" t="s">
        <v>74</v>
      </c>
      <c r="AF959" t="s">
        <v>74</v>
      </c>
      <c r="AG959">
        <v>38</v>
      </c>
      <c r="AH959">
        <v>21</v>
      </c>
      <c r="AI959">
        <v>26</v>
      </c>
      <c r="AJ959">
        <v>1</v>
      </c>
      <c r="AK959">
        <v>31</v>
      </c>
      <c r="AL959" t="s">
        <v>1273</v>
      </c>
      <c r="AM959" t="s">
        <v>197</v>
      </c>
      <c r="AN959" t="s">
        <v>1274</v>
      </c>
      <c r="AO959" t="s">
        <v>1275</v>
      </c>
      <c r="AP959" t="s">
        <v>1276</v>
      </c>
      <c r="AQ959" t="s">
        <v>74</v>
      </c>
      <c r="AR959" t="s">
        <v>1277</v>
      </c>
      <c r="AS959" t="s">
        <v>1278</v>
      </c>
      <c r="AT959" t="s">
        <v>13430</v>
      </c>
      <c r="AU959">
        <v>2004</v>
      </c>
      <c r="AV959">
        <v>51</v>
      </c>
      <c r="AW959">
        <v>4</v>
      </c>
      <c r="AX959" t="s">
        <v>74</v>
      </c>
      <c r="AY959" t="s">
        <v>74</v>
      </c>
      <c r="AZ959" t="s">
        <v>74</v>
      </c>
      <c r="BA959" t="s">
        <v>74</v>
      </c>
      <c r="BB959">
        <v>559</v>
      </c>
      <c r="BC959">
        <v>576</v>
      </c>
      <c r="BD959" t="s">
        <v>74</v>
      </c>
      <c r="BE959" t="s">
        <v>13600</v>
      </c>
      <c r="BF959" t="str">
        <f>HYPERLINK("http://dx.doi.org/10.1016/j.dsr.2003.11.004","http://dx.doi.org/10.1016/j.dsr.2003.11.004")</f>
        <v>http://dx.doi.org/10.1016/j.dsr.2003.11.004</v>
      </c>
      <c r="BG959" t="s">
        <v>74</v>
      </c>
      <c r="BH959" t="s">
        <v>74</v>
      </c>
      <c r="BI959">
        <v>18</v>
      </c>
      <c r="BJ959" t="s">
        <v>660</v>
      </c>
      <c r="BK959" t="s">
        <v>139</v>
      </c>
      <c r="BL959" t="s">
        <v>660</v>
      </c>
      <c r="BM959" t="s">
        <v>13601</v>
      </c>
      <c r="BN959" t="s">
        <v>74</v>
      </c>
      <c r="BO959" t="s">
        <v>74</v>
      </c>
      <c r="BP959" t="s">
        <v>74</v>
      </c>
      <c r="BQ959" t="s">
        <v>74</v>
      </c>
      <c r="BR959" t="s">
        <v>98</v>
      </c>
      <c r="BS959" t="s">
        <v>13602</v>
      </c>
      <c r="BT959" t="str">
        <f>HYPERLINK("https%3A%2F%2Fwww.webofscience.com%2Fwos%2Fwoscc%2Ffull-record%2FWOS:000221023700004","View Full Record in Web of Science")</f>
        <v>View Full Record in Web of Science</v>
      </c>
    </row>
    <row r="960" spans="1:72" x14ac:dyDescent="0.15">
      <c r="A960" t="s">
        <v>122</v>
      </c>
      <c r="B960" t="s">
        <v>13603</v>
      </c>
      <c r="C960" t="s">
        <v>74</v>
      </c>
      <c r="D960" t="s">
        <v>74</v>
      </c>
      <c r="E960" t="s">
        <v>74</v>
      </c>
      <c r="F960" t="s">
        <v>13603</v>
      </c>
      <c r="G960" t="s">
        <v>74</v>
      </c>
      <c r="H960" t="s">
        <v>74</v>
      </c>
      <c r="I960" t="s">
        <v>13604</v>
      </c>
      <c r="J960" t="s">
        <v>13605</v>
      </c>
      <c r="K960" t="s">
        <v>74</v>
      </c>
      <c r="L960" t="s">
        <v>74</v>
      </c>
      <c r="M960" t="s">
        <v>79</v>
      </c>
      <c r="N960" t="s">
        <v>126</v>
      </c>
      <c r="O960" t="s">
        <v>74</v>
      </c>
      <c r="P960" t="s">
        <v>74</v>
      </c>
      <c r="Q960" t="s">
        <v>74</v>
      </c>
      <c r="R960" t="s">
        <v>74</v>
      </c>
      <c r="S960" t="s">
        <v>74</v>
      </c>
      <c r="T960" t="s">
        <v>13606</v>
      </c>
      <c r="U960" t="s">
        <v>13607</v>
      </c>
      <c r="V960" t="s">
        <v>13608</v>
      </c>
      <c r="W960" t="s">
        <v>13609</v>
      </c>
      <c r="X960" t="s">
        <v>13610</v>
      </c>
      <c r="Y960" t="s">
        <v>13611</v>
      </c>
      <c r="Z960" t="s">
        <v>13612</v>
      </c>
      <c r="AA960" t="s">
        <v>3161</v>
      </c>
      <c r="AB960" t="s">
        <v>13613</v>
      </c>
      <c r="AC960" t="s">
        <v>74</v>
      </c>
      <c r="AD960" t="s">
        <v>74</v>
      </c>
      <c r="AE960" t="s">
        <v>74</v>
      </c>
      <c r="AF960" t="s">
        <v>74</v>
      </c>
      <c r="AG960">
        <v>32</v>
      </c>
      <c r="AH960">
        <v>108</v>
      </c>
      <c r="AI960">
        <v>129</v>
      </c>
      <c r="AJ960">
        <v>2</v>
      </c>
      <c r="AK960">
        <v>59</v>
      </c>
      <c r="AL960" t="s">
        <v>1509</v>
      </c>
      <c r="AM960" t="s">
        <v>613</v>
      </c>
      <c r="AN960" t="s">
        <v>1821</v>
      </c>
      <c r="AO960" t="s">
        <v>13614</v>
      </c>
      <c r="AP960" t="s">
        <v>13615</v>
      </c>
      <c r="AQ960" t="s">
        <v>74</v>
      </c>
      <c r="AR960" t="s">
        <v>13605</v>
      </c>
      <c r="AS960" t="s">
        <v>13616</v>
      </c>
      <c r="AT960" t="s">
        <v>13430</v>
      </c>
      <c r="AU960">
        <v>2004</v>
      </c>
      <c r="AV960">
        <v>7</v>
      </c>
      <c r="AW960">
        <v>3</v>
      </c>
      <c r="AX960" t="s">
        <v>74</v>
      </c>
      <c r="AY960" t="s">
        <v>74</v>
      </c>
      <c r="AZ960" t="s">
        <v>74</v>
      </c>
      <c r="BA960" t="s">
        <v>74</v>
      </c>
      <c r="BB960">
        <v>286</v>
      </c>
      <c r="BC960">
        <v>295</v>
      </c>
      <c r="BD960" t="s">
        <v>74</v>
      </c>
      <c r="BE960" t="s">
        <v>13617</v>
      </c>
      <c r="BF960" t="str">
        <f>HYPERLINK("http://dx.doi.org/10.1007/s10021-003-0132-1","http://dx.doi.org/10.1007/s10021-003-0132-1")</f>
        <v>http://dx.doi.org/10.1007/s10021-003-0132-1</v>
      </c>
      <c r="BG960" t="s">
        <v>74</v>
      </c>
      <c r="BH960" t="s">
        <v>74</v>
      </c>
      <c r="BI960">
        <v>10</v>
      </c>
      <c r="BJ960" t="s">
        <v>3165</v>
      </c>
      <c r="BK960" t="s">
        <v>139</v>
      </c>
      <c r="BL960" t="s">
        <v>1305</v>
      </c>
      <c r="BM960" t="s">
        <v>13618</v>
      </c>
      <c r="BN960" t="s">
        <v>74</v>
      </c>
      <c r="BO960" t="s">
        <v>74</v>
      </c>
      <c r="BP960" t="s">
        <v>74</v>
      </c>
      <c r="BQ960" t="s">
        <v>74</v>
      </c>
      <c r="BR960" t="s">
        <v>98</v>
      </c>
      <c r="BS960" t="s">
        <v>13619</v>
      </c>
      <c r="BT960" t="str">
        <f>HYPERLINK("https%3A%2F%2Fwww.webofscience.com%2Fwos%2Fwoscc%2Ffull-record%2FWOS:000221765600006","View Full Record in Web of Science")</f>
        <v>View Full Record in Web of Science</v>
      </c>
    </row>
    <row r="961" spans="1:72" x14ac:dyDescent="0.15">
      <c r="A961" t="s">
        <v>122</v>
      </c>
      <c r="B961" t="s">
        <v>13620</v>
      </c>
      <c r="C961" t="s">
        <v>74</v>
      </c>
      <c r="D961" t="s">
        <v>74</v>
      </c>
      <c r="E961" t="s">
        <v>74</v>
      </c>
      <c r="F961" t="s">
        <v>13620</v>
      </c>
      <c r="G961" t="s">
        <v>74</v>
      </c>
      <c r="H961" t="s">
        <v>74</v>
      </c>
      <c r="I961" t="s">
        <v>13621</v>
      </c>
      <c r="J961" t="s">
        <v>4080</v>
      </c>
      <c r="K961" t="s">
        <v>74</v>
      </c>
      <c r="L961" t="s">
        <v>74</v>
      </c>
      <c r="M961" t="s">
        <v>79</v>
      </c>
      <c r="N961" t="s">
        <v>126</v>
      </c>
      <c r="O961" t="s">
        <v>74</v>
      </c>
      <c r="P961" t="s">
        <v>74</v>
      </c>
      <c r="Q961" t="s">
        <v>74</v>
      </c>
      <c r="R961" t="s">
        <v>74</v>
      </c>
      <c r="S961" t="s">
        <v>74</v>
      </c>
      <c r="T961" t="s">
        <v>74</v>
      </c>
      <c r="U961" t="s">
        <v>13622</v>
      </c>
      <c r="V961" t="s">
        <v>13623</v>
      </c>
      <c r="W961" t="s">
        <v>13624</v>
      </c>
      <c r="X961" t="s">
        <v>13625</v>
      </c>
      <c r="Y961" t="s">
        <v>13626</v>
      </c>
      <c r="Z961" t="s">
        <v>13627</v>
      </c>
      <c r="AA961" t="s">
        <v>13628</v>
      </c>
      <c r="AB961" t="s">
        <v>13629</v>
      </c>
      <c r="AC961" t="s">
        <v>74</v>
      </c>
      <c r="AD961" t="s">
        <v>74</v>
      </c>
      <c r="AE961" t="s">
        <v>74</v>
      </c>
      <c r="AF961" t="s">
        <v>74</v>
      </c>
      <c r="AG961">
        <v>52</v>
      </c>
      <c r="AH961">
        <v>47</v>
      </c>
      <c r="AI961">
        <v>55</v>
      </c>
      <c r="AJ961">
        <v>3</v>
      </c>
      <c r="AK961">
        <v>26</v>
      </c>
      <c r="AL961" t="s">
        <v>2170</v>
      </c>
      <c r="AM961" t="s">
        <v>240</v>
      </c>
      <c r="AN961" t="s">
        <v>2171</v>
      </c>
      <c r="AO961" t="s">
        <v>4089</v>
      </c>
      <c r="AP961" t="s">
        <v>4090</v>
      </c>
      <c r="AQ961" t="s">
        <v>74</v>
      </c>
      <c r="AR961" t="s">
        <v>4091</v>
      </c>
      <c r="AS961" t="s">
        <v>4092</v>
      </c>
      <c r="AT961" t="s">
        <v>13455</v>
      </c>
      <c r="AU961">
        <v>2004</v>
      </c>
      <c r="AV961">
        <v>38</v>
      </c>
      <c r="AW961">
        <v>7</v>
      </c>
      <c r="AX961" t="s">
        <v>74</v>
      </c>
      <c r="AY961" t="s">
        <v>74</v>
      </c>
      <c r="AZ961" t="s">
        <v>74</v>
      </c>
      <c r="BA961" t="s">
        <v>74</v>
      </c>
      <c r="BB961">
        <v>1992</v>
      </c>
      <c r="BC961">
        <v>1997</v>
      </c>
      <c r="BD961" t="s">
        <v>74</v>
      </c>
      <c r="BE961" t="s">
        <v>13630</v>
      </c>
      <c r="BF961" t="str">
        <f>HYPERLINK("http://dx.doi.org/10.1021/es030568i","http://dx.doi.org/10.1021/es030568i")</f>
        <v>http://dx.doi.org/10.1021/es030568i</v>
      </c>
      <c r="BG961" t="s">
        <v>74</v>
      </c>
      <c r="BH961" t="s">
        <v>74</v>
      </c>
      <c r="BI961">
        <v>6</v>
      </c>
      <c r="BJ961" t="s">
        <v>2585</v>
      </c>
      <c r="BK961" t="s">
        <v>139</v>
      </c>
      <c r="BL961" t="s">
        <v>2586</v>
      </c>
      <c r="BM961" t="s">
        <v>13631</v>
      </c>
      <c r="BN961">
        <v>15112798</v>
      </c>
      <c r="BO961" t="s">
        <v>74</v>
      </c>
      <c r="BP961" t="s">
        <v>74</v>
      </c>
      <c r="BQ961" t="s">
        <v>74</v>
      </c>
      <c r="BR961" t="s">
        <v>98</v>
      </c>
      <c r="BS961" t="s">
        <v>13632</v>
      </c>
      <c r="BT961" t="str">
        <f>HYPERLINK("https%3A%2F%2Fwww.webofscience.com%2Fwos%2Fwoscc%2Ffull-record%2FWOS:000220577800023","View Full Record in Web of Science")</f>
        <v>View Full Record in Web of Science</v>
      </c>
    </row>
    <row r="962" spans="1:72" x14ac:dyDescent="0.15">
      <c r="A962" t="s">
        <v>122</v>
      </c>
      <c r="B962" t="s">
        <v>13633</v>
      </c>
      <c r="C962" t="s">
        <v>74</v>
      </c>
      <c r="D962" t="s">
        <v>74</v>
      </c>
      <c r="E962" t="s">
        <v>74</v>
      </c>
      <c r="F962" t="s">
        <v>13633</v>
      </c>
      <c r="G962" t="s">
        <v>74</v>
      </c>
      <c r="H962" t="s">
        <v>74</v>
      </c>
      <c r="I962" t="s">
        <v>13634</v>
      </c>
      <c r="J962" t="s">
        <v>6007</v>
      </c>
      <c r="K962" t="s">
        <v>74</v>
      </c>
      <c r="L962" t="s">
        <v>74</v>
      </c>
      <c r="M962" t="s">
        <v>79</v>
      </c>
      <c r="N962" t="s">
        <v>126</v>
      </c>
      <c r="O962" t="s">
        <v>74</v>
      </c>
      <c r="P962" t="s">
        <v>74</v>
      </c>
      <c r="Q962" t="s">
        <v>74</v>
      </c>
      <c r="R962" t="s">
        <v>74</v>
      </c>
      <c r="S962" t="s">
        <v>74</v>
      </c>
      <c r="T962" t="s">
        <v>13635</v>
      </c>
      <c r="U962" t="s">
        <v>13636</v>
      </c>
      <c r="V962" t="s">
        <v>13637</v>
      </c>
      <c r="W962" t="s">
        <v>13638</v>
      </c>
      <c r="X962" t="s">
        <v>13639</v>
      </c>
      <c r="Y962" t="s">
        <v>13640</v>
      </c>
      <c r="Z962" t="s">
        <v>13641</v>
      </c>
      <c r="AA962" t="s">
        <v>74</v>
      </c>
      <c r="AB962" t="s">
        <v>13642</v>
      </c>
      <c r="AC962" t="s">
        <v>74</v>
      </c>
      <c r="AD962" t="s">
        <v>74</v>
      </c>
      <c r="AE962" t="s">
        <v>74</v>
      </c>
      <c r="AF962" t="s">
        <v>74</v>
      </c>
      <c r="AG962">
        <v>66</v>
      </c>
      <c r="AH962">
        <v>97</v>
      </c>
      <c r="AI962">
        <v>109</v>
      </c>
      <c r="AJ962">
        <v>1</v>
      </c>
      <c r="AK962">
        <v>52</v>
      </c>
      <c r="AL962" t="s">
        <v>1418</v>
      </c>
      <c r="AM962" t="s">
        <v>1419</v>
      </c>
      <c r="AN962" t="s">
        <v>1420</v>
      </c>
      <c r="AO962" t="s">
        <v>6017</v>
      </c>
      <c r="AP962" t="s">
        <v>6018</v>
      </c>
      <c r="AQ962" t="s">
        <v>74</v>
      </c>
      <c r="AR962" t="s">
        <v>6007</v>
      </c>
      <c r="AS962" t="s">
        <v>6019</v>
      </c>
      <c r="AT962" t="s">
        <v>13430</v>
      </c>
      <c r="AU962">
        <v>2004</v>
      </c>
      <c r="AV962">
        <v>58</v>
      </c>
      <c r="AW962">
        <v>4</v>
      </c>
      <c r="AX962" t="s">
        <v>74</v>
      </c>
      <c r="AY962" t="s">
        <v>74</v>
      </c>
      <c r="AZ962" t="s">
        <v>74</v>
      </c>
      <c r="BA962" t="s">
        <v>74</v>
      </c>
      <c r="BB962">
        <v>880</v>
      </c>
      <c r="BC962">
        <v>885</v>
      </c>
      <c r="BD962" t="s">
        <v>74</v>
      </c>
      <c r="BE962" t="s">
        <v>13643</v>
      </c>
      <c r="BF962" t="str">
        <f>HYPERLINK("http://dx.doi.org/10.1554/03-147","http://dx.doi.org/10.1554/03-147")</f>
        <v>http://dx.doi.org/10.1554/03-147</v>
      </c>
      <c r="BG962" t="s">
        <v>74</v>
      </c>
      <c r="BH962" t="s">
        <v>74</v>
      </c>
      <c r="BI962">
        <v>6</v>
      </c>
      <c r="BJ962" t="s">
        <v>6020</v>
      </c>
      <c r="BK962" t="s">
        <v>139</v>
      </c>
      <c r="BL962" t="s">
        <v>6021</v>
      </c>
      <c r="BM962" t="s">
        <v>13644</v>
      </c>
      <c r="BN962">
        <v>15154562</v>
      </c>
      <c r="BO962" t="s">
        <v>74</v>
      </c>
      <c r="BP962" t="s">
        <v>74</v>
      </c>
      <c r="BQ962" t="s">
        <v>74</v>
      </c>
      <c r="BR962" t="s">
        <v>98</v>
      </c>
      <c r="BS962" t="s">
        <v>13645</v>
      </c>
      <c r="BT962" t="str">
        <f>HYPERLINK("https%3A%2F%2Fwww.webofscience.com%2Fwos%2Fwoscc%2Ffull-record%2FWOS:000221234700019","View Full Record in Web of Science")</f>
        <v>View Full Record in Web of Science</v>
      </c>
    </row>
    <row r="963" spans="1:72" x14ac:dyDescent="0.15">
      <c r="A963" t="s">
        <v>122</v>
      </c>
      <c r="B963" t="s">
        <v>13646</v>
      </c>
      <c r="C963" t="s">
        <v>74</v>
      </c>
      <c r="D963" t="s">
        <v>74</v>
      </c>
      <c r="E963" t="s">
        <v>74</v>
      </c>
      <c r="F963" t="s">
        <v>13646</v>
      </c>
      <c r="G963" t="s">
        <v>74</v>
      </c>
      <c r="H963" t="s">
        <v>74</v>
      </c>
      <c r="I963" t="s">
        <v>13647</v>
      </c>
      <c r="J963" t="s">
        <v>13648</v>
      </c>
      <c r="K963" t="s">
        <v>74</v>
      </c>
      <c r="L963" t="s">
        <v>74</v>
      </c>
      <c r="M963" t="s">
        <v>79</v>
      </c>
      <c r="N963" t="s">
        <v>126</v>
      </c>
      <c r="O963" t="s">
        <v>74</v>
      </c>
      <c r="P963" t="s">
        <v>74</v>
      </c>
      <c r="Q963" t="s">
        <v>74</v>
      </c>
      <c r="R963" t="s">
        <v>74</v>
      </c>
      <c r="S963" t="s">
        <v>74</v>
      </c>
      <c r="T963" t="s">
        <v>13649</v>
      </c>
      <c r="U963" t="s">
        <v>13650</v>
      </c>
      <c r="V963" t="s">
        <v>13651</v>
      </c>
      <c r="W963" t="s">
        <v>13652</v>
      </c>
      <c r="X963" t="s">
        <v>13653</v>
      </c>
      <c r="Y963" t="s">
        <v>13654</v>
      </c>
      <c r="Z963" t="s">
        <v>13655</v>
      </c>
      <c r="AA963" t="s">
        <v>13656</v>
      </c>
      <c r="AB963" t="s">
        <v>13657</v>
      </c>
      <c r="AC963" t="s">
        <v>74</v>
      </c>
      <c r="AD963" t="s">
        <v>74</v>
      </c>
      <c r="AE963" t="s">
        <v>74</v>
      </c>
      <c r="AF963" t="s">
        <v>74</v>
      </c>
      <c r="AG963">
        <v>25</v>
      </c>
      <c r="AH963">
        <v>36</v>
      </c>
      <c r="AI963">
        <v>42</v>
      </c>
      <c r="AJ963">
        <v>0</v>
      </c>
      <c r="AK963">
        <v>6</v>
      </c>
      <c r="AL963" t="s">
        <v>13658</v>
      </c>
      <c r="AM963" t="s">
        <v>2076</v>
      </c>
      <c r="AN963" t="s">
        <v>13659</v>
      </c>
      <c r="AO963" t="s">
        <v>13660</v>
      </c>
      <c r="AP963" t="s">
        <v>74</v>
      </c>
      <c r="AQ963" t="s">
        <v>74</v>
      </c>
      <c r="AR963" t="s">
        <v>13648</v>
      </c>
      <c r="AS963" t="s">
        <v>13661</v>
      </c>
      <c r="AT963" t="s">
        <v>13430</v>
      </c>
      <c r="AU963">
        <v>2004</v>
      </c>
      <c r="AV963">
        <v>8</v>
      </c>
      <c r="AW963">
        <v>2</v>
      </c>
      <c r="AX963" t="s">
        <v>74</v>
      </c>
      <c r="AY963" t="s">
        <v>74</v>
      </c>
      <c r="AZ963" t="s">
        <v>74</v>
      </c>
      <c r="BA963" t="s">
        <v>74</v>
      </c>
      <c r="BB963">
        <v>125</v>
      </c>
      <c r="BC963">
        <v>132</v>
      </c>
      <c r="BD963" t="s">
        <v>74</v>
      </c>
      <c r="BE963" t="s">
        <v>13662</v>
      </c>
      <c r="BF963" t="str">
        <f>HYPERLINK("http://dx.doi.org/10.1007/s00792-003-0371-2","http://dx.doi.org/10.1007/s00792-003-0371-2")</f>
        <v>http://dx.doi.org/10.1007/s00792-003-0371-2</v>
      </c>
      <c r="BG963" t="s">
        <v>74</v>
      </c>
      <c r="BH963" t="s">
        <v>74</v>
      </c>
      <c r="BI963">
        <v>8</v>
      </c>
      <c r="BJ963" t="s">
        <v>9529</v>
      </c>
      <c r="BK963" t="s">
        <v>139</v>
      </c>
      <c r="BL963" t="s">
        <v>9529</v>
      </c>
      <c r="BM963" t="s">
        <v>13663</v>
      </c>
      <c r="BN963">
        <v>15064979</v>
      </c>
      <c r="BO963" t="s">
        <v>74</v>
      </c>
      <c r="BP963" t="s">
        <v>74</v>
      </c>
      <c r="BQ963" t="s">
        <v>74</v>
      </c>
      <c r="BR963" t="s">
        <v>98</v>
      </c>
      <c r="BS963" t="s">
        <v>13664</v>
      </c>
      <c r="BT963" t="str">
        <f>HYPERLINK("https%3A%2F%2Fwww.webofscience.com%2Fwos%2Fwoscc%2Ffull-record%2FWOS:000220683300005","View Full Record in Web of Science")</f>
        <v>View Full Record in Web of Science</v>
      </c>
    </row>
    <row r="964" spans="1:72" x14ac:dyDescent="0.15">
      <c r="A964" t="s">
        <v>122</v>
      </c>
      <c r="B964" t="s">
        <v>13665</v>
      </c>
      <c r="C964" t="s">
        <v>74</v>
      </c>
      <c r="D964" t="s">
        <v>74</v>
      </c>
      <c r="E964" t="s">
        <v>74</v>
      </c>
      <c r="F964" t="s">
        <v>13665</v>
      </c>
      <c r="G964" t="s">
        <v>74</v>
      </c>
      <c r="H964" t="s">
        <v>74</v>
      </c>
      <c r="I964" t="s">
        <v>13666</v>
      </c>
      <c r="J964" t="s">
        <v>4533</v>
      </c>
      <c r="K964" t="s">
        <v>74</v>
      </c>
      <c r="L964" t="s">
        <v>74</v>
      </c>
      <c r="M964" t="s">
        <v>79</v>
      </c>
      <c r="N964" t="s">
        <v>581</v>
      </c>
      <c r="O964" t="s">
        <v>74</v>
      </c>
      <c r="P964" t="s">
        <v>74</v>
      </c>
      <c r="Q964" t="s">
        <v>74</v>
      </c>
      <c r="R964" t="s">
        <v>74</v>
      </c>
      <c r="S964" t="s">
        <v>74</v>
      </c>
      <c r="T964" t="s">
        <v>13667</v>
      </c>
      <c r="U964" t="s">
        <v>13668</v>
      </c>
      <c r="V964" t="s">
        <v>13669</v>
      </c>
      <c r="W964" t="s">
        <v>13670</v>
      </c>
      <c r="X964" t="s">
        <v>13671</v>
      </c>
      <c r="Y964" t="s">
        <v>13672</v>
      </c>
      <c r="Z964" t="s">
        <v>13673</v>
      </c>
      <c r="AA964" t="s">
        <v>13674</v>
      </c>
      <c r="AB964" t="s">
        <v>9173</v>
      </c>
      <c r="AC964" t="s">
        <v>74</v>
      </c>
      <c r="AD964" t="s">
        <v>74</v>
      </c>
      <c r="AE964" t="s">
        <v>74</v>
      </c>
      <c r="AF964" t="s">
        <v>74</v>
      </c>
      <c r="AG964">
        <v>132</v>
      </c>
      <c r="AH964">
        <v>347</v>
      </c>
      <c r="AI964">
        <v>392</v>
      </c>
      <c r="AJ964">
        <v>3</v>
      </c>
      <c r="AK964">
        <v>110</v>
      </c>
      <c r="AL964" t="s">
        <v>1330</v>
      </c>
      <c r="AM964" t="s">
        <v>197</v>
      </c>
      <c r="AN964" t="s">
        <v>1331</v>
      </c>
      <c r="AO964" t="s">
        <v>4542</v>
      </c>
      <c r="AP964" t="s">
        <v>74</v>
      </c>
      <c r="AQ964" t="s">
        <v>74</v>
      </c>
      <c r="AR964" t="s">
        <v>4544</v>
      </c>
      <c r="AS964" t="s">
        <v>4545</v>
      </c>
      <c r="AT964" t="s">
        <v>13430</v>
      </c>
      <c r="AU964">
        <v>2004</v>
      </c>
      <c r="AV964">
        <v>18</v>
      </c>
      <c r="AW964">
        <v>2</v>
      </c>
      <c r="AX964" t="s">
        <v>74</v>
      </c>
      <c r="AY964" t="s">
        <v>74</v>
      </c>
      <c r="AZ964" t="s">
        <v>74</v>
      </c>
      <c r="BA964" t="s">
        <v>74</v>
      </c>
      <c r="BB964">
        <v>168</v>
      </c>
      <c r="BC964">
        <v>183</v>
      </c>
      <c r="BD964" t="s">
        <v>74</v>
      </c>
      <c r="BE964" t="s">
        <v>13675</v>
      </c>
      <c r="BF964" t="str">
        <f>HYPERLINK("http://dx.doi.org/10.1111/j.0269-8463.2004.00821.x","http://dx.doi.org/10.1111/j.0269-8463.2004.00821.x")</f>
        <v>http://dx.doi.org/10.1111/j.0269-8463.2004.00821.x</v>
      </c>
      <c r="BG964" t="s">
        <v>74</v>
      </c>
      <c r="BH964" t="s">
        <v>74</v>
      </c>
      <c r="BI964">
        <v>16</v>
      </c>
      <c r="BJ964" t="s">
        <v>3165</v>
      </c>
      <c r="BK964" t="s">
        <v>139</v>
      </c>
      <c r="BL964" t="s">
        <v>1305</v>
      </c>
      <c r="BM964" t="s">
        <v>13676</v>
      </c>
      <c r="BN964" t="s">
        <v>74</v>
      </c>
      <c r="BO964" t="s">
        <v>273</v>
      </c>
      <c r="BP964" t="s">
        <v>74</v>
      </c>
      <c r="BQ964" t="s">
        <v>74</v>
      </c>
      <c r="BR964" t="s">
        <v>98</v>
      </c>
      <c r="BS964" t="s">
        <v>13677</v>
      </c>
      <c r="BT964" t="str">
        <f>HYPERLINK("https%3A%2F%2Fwww.webofscience.com%2Fwos%2Fwoscc%2Ffull-record%2FWOS:000220625600002","View Full Record in Web of Science")</f>
        <v>View Full Record in Web of Science</v>
      </c>
    </row>
    <row r="965" spans="1:72" x14ac:dyDescent="0.15">
      <c r="A965" t="s">
        <v>122</v>
      </c>
      <c r="B965" t="s">
        <v>13678</v>
      </c>
      <c r="C965" t="s">
        <v>74</v>
      </c>
      <c r="D965" t="s">
        <v>74</v>
      </c>
      <c r="E965" t="s">
        <v>74</v>
      </c>
      <c r="F965" t="s">
        <v>13678</v>
      </c>
      <c r="G965" t="s">
        <v>74</v>
      </c>
      <c r="H965" t="s">
        <v>74</v>
      </c>
      <c r="I965" t="s">
        <v>13679</v>
      </c>
      <c r="J965" t="s">
        <v>4533</v>
      </c>
      <c r="K965" t="s">
        <v>74</v>
      </c>
      <c r="L965" t="s">
        <v>74</v>
      </c>
      <c r="M965" t="s">
        <v>79</v>
      </c>
      <c r="N965" t="s">
        <v>918</v>
      </c>
      <c r="O965" t="s">
        <v>74</v>
      </c>
      <c r="P965" t="s">
        <v>74</v>
      </c>
      <c r="Q965" t="s">
        <v>74</v>
      </c>
      <c r="R965" t="s">
        <v>74</v>
      </c>
      <c r="S965" t="s">
        <v>74</v>
      </c>
      <c r="T965" t="s">
        <v>74</v>
      </c>
      <c r="U965" t="s">
        <v>13680</v>
      </c>
      <c r="V965" t="s">
        <v>74</v>
      </c>
      <c r="W965" t="s">
        <v>747</v>
      </c>
      <c r="X965" t="s">
        <v>748</v>
      </c>
      <c r="Y965" t="s">
        <v>3864</v>
      </c>
      <c r="Z965" t="s">
        <v>1091</v>
      </c>
      <c r="AA965" t="s">
        <v>74</v>
      </c>
      <c r="AB965" t="s">
        <v>74</v>
      </c>
      <c r="AC965" t="s">
        <v>74</v>
      </c>
      <c r="AD965" t="s">
        <v>74</v>
      </c>
      <c r="AE965" t="s">
        <v>74</v>
      </c>
      <c r="AF965" t="s">
        <v>74</v>
      </c>
      <c r="AG965">
        <v>56</v>
      </c>
      <c r="AH965">
        <v>444</v>
      </c>
      <c r="AI965">
        <v>520</v>
      </c>
      <c r="AJ965">
        <v>6</v>
      </c>
      <c r="AK965">
        <v>181</v>
      </c>
      <c r="AL965" t="s">
        <v>1418</v>
      </c>
      <c r="AM965" t="s">
        <v>1419</v>
      </c>
      <c r="AN965" t="s">
        <v>1420</v>
      </c>
      <c r="AO965" t="s">
        <v>4542</v>
      </c>
      <c r="AP965" t="s">
        <v>4543</v>
      </c>
      <c r="AQ965" t="s">
        <v>74</v>
      </c>
      <c r="AR965" t="s">
        <v>4544</v>
      </c>
      <c r="AS965" t="s">
        <v>4545</v>
      </c>
      <c r="AT965" t="s">
        <v>13430</v>
      </c>
      <c r="AU965">
        <v>2004</v>
      </c>
      <c r="AV965">
        <v>18</v>
      </c>
      <c r="AW965">
        <v>2</v>
      </c>
      <c r="AX965" t="s">
        <v>74</v>
      </c>
      <c r="AY965" t="s">
        <v>74</v>
      </c>
      <c r="AZ965" t="s">
        <v>74</v>
      </c>
      <c r="BA965" t="s">
        <v>74</v>
      </c>
      <c r="BB965">
        <v>243</v>
      </c>
      <c r="BC965">
        <v>251</v>
      </c>
      <c r="BD965" t="s">
        <v>74</v>
      </c>
      <c r="BE965" t="s">
        <v>13681</v>
      </c>
      <c r="BF965" t="str">
        <f>HYPERLINK("http://dx.doi.org/10.1111/j.0269-8463.2004.00841.x","http://dx.doi.org/10.1111/j.0269-8463.2004.00841.x")</f>
        <v>http://dx.doi.org/10.1111/j.0269-8463.2004.00841.x</v>
      </c>
      <c r="BG965" t="s">
        <v>74</v>
      </c>
      <c r="BH965" t="s">
        <v>74</v>
      </c>
      <c r="BI965">
        <v>9</v>
      </c>
      <c r="BJ965" t="s">
        <v>3165</v>
      </c>
      <c r="BK965" t="s">
        <v>139</v>
      </c>
      <c r="BL965" t="s">
        <v>1305</v>
      </c>
      <c r="BM965" t="s">
        <v>13676</v>
      </c>
      <c r="BN965" t="s">
        <v>74</v>
      </c>
      <c r="BO965" t="s">
        <v>74</v>
      </c>
      <c r="BP965" t="s">
        <v>74</v>
      </c>
      <c r="BQ965" t="s">
        <v>74</v>
      </c>
      <c r="BR965" t="s">
        <v>98</v>
      </c>
      <c r="BS965" t="s">
        <v>13682</v>
      </c>
      <c r="BT965" t="str">
        <f>HYPERLINK("https%3A%2F%2Fwww.webofscience.com%2Fwos%2Fwoscc%2Ffull-record%2FWOS:000220625600010","View Full Record in Web of Science")</f>
        <v>View Full Record in Web of Science</v>
      </c>
    </row>
    <row r="966" spans="1:72" x14ac:dyDescent="0.15">
      <c r="A966" t="s">
        <v>122</v>
      </c>
      <c r="B966" t="s">
        <v>13683</v>
      </c>
      <c r="C966" t="s">
        <v>74</v>
      </c>
      <c r="D966" t="s">
        <v>74</v>
      </c>
      <c r="E966" t="s">
        <v>74</v>
      </c>
      <c r="F966" t="s">
        <v>13683</v>
      </c>
      <c r="G966" t="s">
        <v>74</v>
      </c>
      <c r="H966" t="s">
        <v>74</v>
      </c>
      <c r="I966" t="s">
        <v>13684</v>
      </c>
      <c r="J966" t="s">
        <v>4533</v>
      </c>
      <c r="K966" t="s">
        <v>74</v>
      </c>
      <c r="L966" t="s">
        <v>74</v>
      </c>
      <c r="M966" t="s">
        <v>79</v>
      </c>
      <c r="N966" t="s">
        <v>918</v>
      </c>
      <c r="O966" t="s">
        <v>74</v>
      </c>
      <c r="P966" t="s">
        <v>74</v>
      </c>
      <c r="Q966" t="s">
        <v>74</v>
      </c>
      <c r="R966" t="s">
        <v>74</v>
      </c>
      <c r="S966" t="s">
        <v>74</v>
      </c>
      <c r="T966" t="s">
        <v>74</v>
      </c>
      <c r="U966" t="s">
        <v>13685</v>
      </c>
      <c r="V966" t="s">
        <v>74</v>
      </c>
      <c r="W966" t="s">
        <v>747</v>
      </c>
      <c r="X966" t="s">
        <v>748</v>
      </c>
      <c r="Y966" t="s">
        <v>3864</v>
      </c>
      <c r="Z966" t="s">
        <v>1091</v>
      </c>
      <c r="AA966" t="s">
        <v>74</v>
      </c>
      <c r="AB966" t="s">
        <v>74</v>
      </c>
      <c r="AC966" t="s">
        <v>74</v>
      </c>
      <c r="AD966" t="s">
        <v>74</v>
      </c>
      <c r="AE966" t="s">
        <v>74</v>
      </c>
      <c r="AF966" t="s">
        <v>74</v>
      </c>
      <c r="AG966">
        <v>30</v>
      </c>
      <c r="AH966">
        <v>170</v>
      </c>
      <c r="AI966">
        <v>188</v>
      </c>
      <c r="AJ966">
        <v>2</v>
      </c>
      <c r="AK966">
        <v>71</v>
      </c>
      <c r="AL966" t="s">
        <v>1418</v>
      </c>
      <c r="AM966" t="s">
        <v>1419</v>
      </c>
      <c r="AN966" t="s">
        <v>1420</v>
      </c>
      <c r="AO966" t="s">
        <v>4542</v>
      </c>
      <c r="AP966" t="s">
        <v>4543</v>
      </c>
      <c r="AQ966" t="s">
        <v>74</v>
      </c>
      <c r="AR966" t="s">
        <v>4544</v>
      </c>
      <c r="AS966" t="s">
        <v>4545</v>
      </c>
      <c r="AT966" t="s">
        <v>13430</v>
      </c>
      <c r="AU966">
        <v>2004</v>
      </c>
      <c r="AV966">
        <v>18</v>
      </c>
      <c r="AW966">
        <v>2</v>
      </c>
      <c r="AX966" t="s">
        <v>74</v>
      </c>
      <c r="AY966" t="s">
        <v>74</v>
      </c>
      <c r="AZ966" t="s">
        <v>74</v>
      </c>
      <c r="BA966" t="s">
        <v>74</v>
      </c>
      <c r="BB966">
        <v>252</v>
      </c>
      <c r="BC966">
        <v>256</v>
      </c>
      <c r="BD966" t="s">
        <v>74</v>
      </c>
      <c r="BE966" t="s">
        <v>13686</v>
      </c>
      <c r="BF966" t="str">
        <f>HYPERLINK("http://dx.doi.org/10.1111/j.0269-8463.2004.00842.x","http://dx.doi.org/10.1111/j.0269-8463.2004.00842.x")</f>
        <v>http://dx.doi.org/10.1111/j.0269-8463.2004.00842.x</v>
      </c>
      <c r="BG966" t="s">
        <v>74</v>
      </c>
      <c r="BH966" t="s">
        <v>74</v>
      </c>
      <c r="BI966">
        <v>5</v>
      </c>
      <c r="BJ966" t="s">
        <v>3165</v>
      </c>
      <c r="BK966" t="s">
        <v>139</v>
      </c>
      <c r="BL966" t="s">
        <v>1305</v>
      </c>
      <c r="BM966" t="s">
        <v>13676</v>
      </c>
      <c r="BN966" t="s">
        <v>74</v>
      </c>
      <c r="BO966" t="s">
        <v>273</v>
      </c>
      <c r="BP966" t="s">
        <v>74</v>
      </c>
      <c r="BQ966" t="s">
        <v>74</v>
      </c>
      <c r="BR966" t="s">
        <v>98</v>
      </c>
      <c r="BS966" t="s">
        <v>13687</v>
      </c>
      <c r="BT966" t="str">
        <f>HYPERLINK("https%3A%2F%2Fwww.webofscience.com%2Fwos%2Fwoscc%2Ffull-record%2FWOS:000220625600011","View Full Record in Web of Science")</f>
        <v>View Full Record in Web of Science</v>
      </c>
    </row>
    <row r="967" spans="1:72" x14ac:dyDescent="0.15">
      <c r="A967" t="s">
        <v>122</v>
      </c>
      <c r="B967" t="s">
        <v>13688</v>
      </c>
      <c r="C967" t="s">
        <v>74</v>
      </c>
      <c r="D967" t="s">
        <v>74</v>
      </c>
      <c r="E967" t="s">
        <v>74</v>
      </c>
      <c r="F967" t="s">
        <v>13688</v>
      </c>
      <c r="G967" t="s">
        <v>74</v>
      </c>
      <c r="H967" t="s">
        <v>74</v>
      </c>
      <c r="I967" t="s">
        <v>13689</v>
      </c>
      <c r="J967" t="s">
        <v>3171</v>
      </c>
      <c r="K967" t="s">
        <v>74</v>
      </c>
      <c r="L967" t="s">
        <v>74</v>
      </c>
      <c r="M967" t="s">
        <v>79</v>
      </c>
      <c r="N967" t="s">
        <v>126</v>
      </c>
      <c r="O967" t="s">
        <v>74</v>
      </c>
      <c r="P967" t="s">
        <v>74</v>
      </c>
      <c r="Q967" t="s">
        <v>74</v>
      </c>
      <c r="R967" t="s">
        <v>74</v>
      </c>
      <c r="S967" t="s">
        <v>74</v>
      </c>
      <c r="T967" t="s">
        <v>74</v>
      </c>
      <c r="U967" t="s">
        <v>13690</v>
      </c>
      <c r="V967" t="s">
        <v>13691</v>
      </c>
      <c r="W967" t="s">
        <v>13692</v>
      </c>
      <c r="X967" t="s">
        <v>548</v>
      </c>
      <c r="Y967" t="s">
        <v>13693</v>
      </c>
      <c r="Z967" t="s">
        <v>13694</v>
      </c>
      <c r="AA967" t="s">
        <v>13695</v>
      </c>
      <c r="AB967" t="s">
        <v>13696</v>
      </c>
      <c r="AC967" t="s">
        <v>74</v>
      </c>
      <c r="AD967" t="s">
        <v>74</v>
      </c>
      <c r="AE967" t="s">
        <v>74</v>
      </c>
      <c r="AF967" t="s">
        <v>74</v>
      </c>
      <c r="AG967">
        <v>44</v>
      </c>
      <c r="AH967">
        <v>102</v>
      </c>
      <c r="AI967">
        <v>110</v>
      </c>
      <c r="AJ967">
        <v>0</v>
      </c>
      <c r="AK967">
        <v>38</v>
      </c>
      <c r="AL967" t="s">
        <v>1273</v>
      </c>
      <c r="AM967" t="s">
        <v>197</v>
      </c>
      <c r="AN967" t="s">
        <v>1274</v>
      </c>
      <c r="AO967" t="s">
        <v>3180</v>
      </c>
      <c r="AP967" t="s">
        <v>3181</v>
      </c>
      <c r="AQ967" t="s">
        <v>74</v>
      </c>
      <c r="AR967" t="s">
        <v>3182</v>
      </c>
      <c r="AS967" t="s">
        <v>3183</v>
      </c>
      <c r="AT967" t="s">
        <v>13430</v>
      </c>
      <c r="AU967">
        <v>2004</v>
      </c>
      <c r="AV967">
        <v>68</v>
      </c>
      <c r="AW967">
        <v>8</v>
      </c>
      <c r="AX967" t="s">
        <v>74</v>
      </c>
      <c r="AY967" t="s">
        <v>74</v>
      </c>
      <c r="AZ967" t="s">
        <v>74</v>
      </c>
      <c r="BA967" t="s">
        <v>74</v>
      </c>
      <c r="BB967">
        <v>1749</v>
      </c>
      <c r="BC967">
        <v>1761</v>
      </c>
      <c r="BD967" t="s">
        <v>74</v>
      </c>
      <c r="BE967" t="s">
        <v>13697</v>
      </c>
      <c r="BF967" t="str">
        <f>HYPERLINK("http://dx.doi.org/10.1016/j.gca.2003.07.004","http://dx.doi.org/10.1016/j.gca.2003.07.004")</f>
        <v>http://dx.doi.org/10.1016/j.gca.2003.07.004</v>
      </c>
      <c r="BG967" t="s">
        <v>74</v>
      </c>
      <c r="BH967" t="s">
        <v>74</v>
      </c>
      <c r="BI967">
        <v>13</v>
      </c>
      <c r="BJ967" t="s">
        <v>271</v>
      </c>
      <c r="BK967" t="s">
        <v>139</v>
      </c>
      <c r="BL967" t="s">
        <v>271</v>
      </c>
      <c r="BM967" t="s">
        <v>13698</v>
      </c>
      <c r="BN967" t="s">
        <v>74</v>
      </c>
      <c r="BO967" t="s">
        <v>74</v>
      </c>
      <c r="BP967" t="s">
        <v>74</v>
      </c>
      <c r="BQ967" t="s">
        <v>74</v>
      </c>
      <c r="BR967" t="s">
        <v>98</v>
      </c>
      <c r="BS967" t="s">
        <v>13699</v>
      </c>
      <c r="BT967" t="str">
        <f>HYPERLINK("https%3A%2F%2Fwww.webofscience.com%2Fwos%2Fwoscc%2Ffull-record%2FWOS:000220892100006","View Full Record in Web of Science")</f>
        <v>View Full Record in Web of Science</v>
      </c>
    </row>
    <row r="968" spans="1:72" x14ac:dyDescent="0.15">
      <c r="A968" t="s">
        <v>122</v>
      </c>
      <c r="B968" t="s">
        <v>13700</v>
      </c>
      <c r="C968" t="s">
        <v>74</v>
      </c>
      <c r="D968" t="s">
        <v>74</v>
      </c>
      <c r="E968" t="s">
        <v>74</v>
      </c>
      <c r="F968" t="s">
        <v>13700</v>
      </c>
      <c r="G968" t="s">
        <v>74</v>
      </c>
      <c r="H968" t="s">
        <v>74</v>
      </c>
      <c r="I968" t="s">
        <v>13701</v>
      </c>
      <c r="J968" t="s">
        <v>3211</v>
      </c>
      <c r="K968" t="s">
        <v>74</v>
      </c>
      <c r="L968" t="s">
        <v>74</v>
      </c>
      <c r="M968" t="s">
        <v>79</v>
      </c>
      <c r="N968" t="s">
        <v>126</v>
      </c>
      <c r="O968" t="s">
        <v>74</v>
      </c>
      <c r="P968" t="s">
        <v>74</v>
      </c>
      <c r="Q968" t="s">
        <v>74</v>
      </c>
      <c r="R968" t="s">
        <v>74</v>
      </c>
      <c r="S968" t="s">
        <v>74</v>
      </c>
      <c r="T968" t="s">
        <v>13702</v>
      </c>
      <c r="U968" t="s">
        <v>13703</v>
      </c>
      <c r="V968" t="s">
        <v>13704</v>
      </c>
      <c r="W968" t="s">
        <v>13705</v>
      </c>
      <c r="X968" t="s">
        <v>13706</v>
      </c>
      <c r="Y968" t="s">
        <v>13707</v>
      </c>
      <c r="Z968" t="s">
        <v>74</v>
      </c>
      <c r="AA968" t="s">
        <v>74</v>
      </c>
      <c r="AB968" t="s">
        <v>74</v>
      </c>
      <c r="AC968" t="s">
        <v>74</v>
      </c>
      <c r="AD968" t="s">
        <v>74</v>
      </c>
      <c r="AE968" t="s">
        <v>74</v>
      </c>
      <c r="AF968" t="s">
        <v>74</v>
      </c>
      <c r="AG968">
        <v>32</v>
      </c>
      <c r="AH968">
        <v>88</v>
      </c>
      <c r="AI968">
        <v>93</v>
      </c>
      <c r="AJ968">
        <v>4</v>
      </c>
      <c r="AK968">
        <v>33</v>
      </c>
      <c r="AL968" t="s">
        <v>3199</v>
      </c>
      <c r="AM968" t="s">
        <v>2601</v>
      </c>
      <c r="AN968" t="s">
        <v>3200</v>
      </c>
      <c r="AO968" t="s">
        <v>3221</v>
      </c>
      <c r="AP968" t="s">
        <v>3222</v>
      </c>
      <c r="AQ968" t="s">
        <v>74</v>
      </c>
      <c r="AR968" t="s">
        <v>3211</v>
      </c>
      <c r="AS968" t="s">
        <v>249</v>
      </c>
      <c r="AT968" t="s">
        <v>13430</v>
      </c>
      <c r="AU968">
        <v>2004</v>
      </c>
      <c r="AV968">
        <v>32</v>
      </c>
      <c r="AW968">
        <v>4</v>
      </c>
      <c r="AX968" t="s">
        <v>74</v>
      </c>
      <c r="AY968" t="s">
        <v>74</v>
      </c>
      <c r="AZ968" t="s">
        <v>74</v>
      </c>
      <c r="BA968" t="s">
        <v>74</v>
      </c>
      <c r="BB968">
        <v>317</v>
      </c>
      <c r="BC968">
        <v>320</v>
      </c>
      <c r="BD968" t="s">
        <v>74</v>
      </c>
      <c r="BE968" t="s">
        <v>13708</v>
      </c>
      <c r="BF968" t="str">
        <f>HYPERLINK("http://dx.doi.org/10.1130/G20334.1","http://dx.doi.org/10.1130/G20334.1")</f>
        <v>http://dx.doi.org/10.1130/G20334.1</v>
      </c>
      <c r="BG968" t="s">
        <v>74</v>
      </c>
      <c r="BH968" t="s">
        <v>74</v>
      </c>
      <c r="BI968">
        <v>4</v>
      </c>
      <c r="BJ968" t="s">
        <v>249</v>
      </c>
      <c r="BK968" t="s">
        <v>139</v>
      </c>
      <c r="BL968" t="s">
        <v>249</v>
      </c>
      <c r="BM968" t="s">
        <v>13709</v>
      </c>
      <c r="BN968" t="s">
        <v>74</v>
      </c>
      <c r="BO968" t="s">
        <v>74</v>
      </c>
      <c r="BP968" t="s">
        <v>74</v>
      </c>
      <c r="BQ968" t="s">
        <v>74</v>
      </c>
      <c r="BR968" t="s">
        <v>98</v>
      </c>
      <c r="BS968" t="s">
        <v>13710</v>
      </c>
      <c r="BT968" t="str">
        <f>HYPERLINK("https%3A%2F%2Fwww.webofscience.com%2Fwos%2Fwoscc%2Ffull-record%2FWOS:000220553900012","View Full Record in Web of Science")</f>
        <v>View Full Record in Web of Science</v>
      </c>
    </row>
    <row r="969" spans="1:72" x14ac:dyDescent="0.15">
      <c r="A969" t="s">
        <v>122</v>
      </c>
      <c r="B969" t="s">
        <v>13711</v>
      </c>
      <c r="C969" t="s">
        <v>74</v>
      </c>
      <c r="D969" t="s">
        <v>74</v>
      </c>
      <c r="E969" t="s">
        <v>74</v>
      </c>
      <c r="F969" t="s">
        <v>13711</v>
      </c>
      <c r="G969" t="s">
        <v>74</v>
      </c>
      <c r="H969" t="s">
        <v>74</v>
      </c>
      <c r="I969" t="s">
        <v>13712</v>
      </c>
      <c r="J969" t="s">
        <v>13713</v>
      </c>
      <c r="K969" t="s">
        <v>74</v>
      </c>
      <c r="L969" t="s">
        <v>74</v>
      </c>
      <c r="M969" t="s">
        <v>79</v>
      </c>
      <c r="N969" t="s">
        <v>581</v>
      </c>
      <c r="O969" t="s">
        <v>74</v>
      </c>
      <c r="P969" t="s">
        <v>74</v>
      </c>
      <c r="Q969" t="s">
        <v>74</v>
      </c>
      <c r="R969" t="s">
        <v>74</v>
      </c>
      <c r="S969" t="s">
        <v>74</v>
      </c>
      <c r="T969" t="s">
        <v>13714</v>
      </c>
      <c r="U969" t="s">
        <v>13715</v>
      </c>
      <c r="V969" t="s">
        <v>13716</v>
      </c>
      <c r="W969" t="s">
        <v>13717</v>
      </c>
      <c r="X969" t="s">
        <v>13718</v>
      </c>
      <c r="Y969" t="s">
        <v>13719</v>
      </c>
      <c r="Z969" t="s">
        <v>13720</v>
      </c>
      <c r="AA969" t="s">
        <v>74</v>
      </c>
      <c r="AB969" t="s">
        <v>13721</v>
      </c>
      <c r="AC969" t="s">
        <v>74</v>
      </c>
      <c r="AD969" t="s">
        <v>74</v>
      </c>
      <c r="AE969" t="s">
        <v>74</v>
      </c>
      <c r="AF969" t="s">
        <v>74</v>
      </c>
      <c r="AG969">
        <v>103</v>
      </c>
      <c r="AH969">
        <v>29</v>
      </c>
      <c r="AI969">
        <v>34</v>
      </c>
      <c r="AJ969">
        <v>2</v>
      </c>
      <c r="AK969">
        <v>12</v>
      </c>
      <c r="AL969" t="s">
        <v>196</v>
      </c>
      <c r="AM969" t="s">
        <v>197</v>
      </c>
      <c r="AN969" t="s">
        <v>198</v>
      </c>
      <c r="AO969" t="s">
        <v>13722</v>
      </c>
      <c r="AP969" t="s">
        <v>13723</v>
      </c>
      <c r="AQ969" t="s">
        <v>74</v>
      </c>
      <c r="AR969" t="s">
        <v>13724</v>
      </c>
      <c r="AS969" t="s">
        <v>13725</v>
      </c>
      <c r="AT969" t="s">
        <v>13430</v>
      </c>
      <c r="AU969">
        <v>2004</v>
      </c>
      <c r="AV969">
        <v>157</v>
      </c>
      <c r="AW969">
        <v>1</v>
      </c>
      <c r="AX969" t="s">
        <v>74</v>
      </c>
      <c r="AY969" t="s">
        <v>74</v>
      </c>
      <c r="AZ969" t="s">
        <v>74</v>
      </c>
      <c r="BA969" t="s">
        <v>74</v>
      </c>
      <c r="BB969">
        <v>36</v>
      </c>
      <c r="BC969">
        <v>54</v>
      </c>
      <c r="BD969" t="s">
        <v>74</v>
      </c>
      <c r="BE969" t="s">
        <v>13726</v>
      </c>
      <c r="BF969" t="str">
        <f>HYPERLINK("http://dx.doi.org/10.1111/j.1365-246X.2004.02156.x","http://dx.doi.org/10.1111/j.1365-246X.2004.02156.x")</f>
        <v>http://dx.doi.org/10.1111/j.1365-246X.2004.02156.x</v>
      </c>
      <c r="BG969" t="s">
        <v>74</v>
      </c>
      <c r="BH969" t="s">
        <v>74</v>
      </c>
      <c r="BI969">
        <v>19</v>
      </c>
      <c r="BJ969" t="s">
        <v>271</v>
      </c>
      <c r="BK969" t="s">
        <v>139</v>
      </c>
      <c r="BL969" t="s">
        <v>271</v>
      </c>
      <c r="BM969" t="s">
        <v>13727</v>
      </c>
      <c r="BN969" t="s">
        <v>74</v>
      </c>
      <c r="BO969" t="s">
        <v>273</v>
      </c>
      <c r="BP969" t="s">
        <v>74</v>
      </c>
      <c r="BQ969" t="s">
        <v>74</v>
      </c>
      <c r="BR969" t="s">
        <v>98</v>
      </c>
      <c r="BS969" t="s">
        <v>13728</v>
      </c>
      <c r="BT969" t="str">
        <f>HYPERLINK("https%3A%2F%2Fwww.webofscience.com%2Fwos%2Fwoscc%2Ffull-record%2FWOS:000221049700004","View Full Record in Web of Science")</f>
        <v>View Full Record in Web of Science</v>
      </c>
    </row>
    <row r="970" spans="1:72" x14ac:dyDescent="0.15">
      <c r="A970" t="s">
        <v>122</v>
      </c>
      <c r="B970" t="s">
        <v>13729</v>
      </c>
      <c r="C970" t="s">
        <v>74</v>
      </c>
      <c r="D970" t="s">
        <v>74</v>
      </c>
      <c r="E970" t="s">
        <v>74</v>
      </c>
      <c r="F970" t="s">
        <v>13729</v>
      </c>
      <c r="G970" t="s">
        <v>74</v>
      </c>
      <c r="H970" t="s">
        <v>74</v>
      </c>
      <c r="I970" t="s">
        <v>13730</v>
      </c>
      <c r="J970" t="s">
        <v>13713</v>
      </c>
      <c r="K970" t="s">
        <v>74</v>
      </c>
      <c r="L970" t="s">
        <v>74</v>
      </c>
      <c r="M970" t="s">
        <v>79</v>
      </c>
      <c r="N970" t="s">
        <v>126</v>
      </c>
      <c r="O970" t="s">
        <v>74</v>
      </c>
      <c r="P970" t="s">
        <v>74</v>
      </c>
      <c r="Q970" t="s">
        <v>74</v>
      </c>
      <c r="R970" t="s">
        <v>74</v>
      </c>
      <c r="S970" t="s">
        <v>74</v>
      </c>
      <c r="T970" t="s">
        <v>13731</v>
      </c>
      <c r="U970" t="s">
        <v>13732</v>
      </c>
      <c r="V970" t="s">
        <v>13733</v>
      </c>
      <c r="W970" t="s">
        <v>13734</v>
      </c>
      <c r="X970" t="s">
        <v>13735</v>
      </c>
      <c r="Y970" t="s">
        <v>2548</v>
      </c>
      <c r="Z970" t="s">
        <v>13736</v>
      </c>
      <c r="AA970" t="s">
        <v>13737</v>
      </c>
      <c r="AB970" t="s">
        <v>13738</v>
      </c>
      <c r="AC970" t="s">
        <v>74</v>
      </c>
      <c r="AD970" t="s">
        <v>74</v>
      </c>
      <c r="AE970" t="s">
        <v>74</v>
      </c>
      <c r="AF970" t="s">
        <v>74</v>
      </c>
      <c r="AG970">
        <v>46</v>
      </c>
      <c r="AH970">
        <v>36</v>
      </c>
      <c r="AI970">
        <v>40</v>
      </c>
      <c r="AJ970">
        <v>0</v>
      </c>
      <c r="AK970">
        <v>5</v>
      </c>
      <c r="AL970" t="s">
        <v>196</v>
      </c>
      <c r="AM970" t="s">
        <v>197</v>
      </c>
      <c r="AN970" t="s">
        <v>198</v>
      </c>
      <c r="AO970" t="s">
        <v>13722</v>
      </c>
      <c r="AP970" t="s">
        <v>13723</v>
      </c>
      <c r="AQ970" t="s">
        <v>74</v>
      </c>
      <c r="AR970" t="s">
        <v>13724</v>
      </c>
      <c r="AS970" t="s">
        <v>13725</v>
      </c>
      <c r="AT970" t="s">
        <v>13430</v>
      </c>
      <c r="AU970">
        <v>2004</v>
      </c>
      <c r="AV970">
        <v>157</v>
      </c>
      <c r="AW970">
        <v>1</v>
      </c>
      <c r="AX970" t="s">
        <v>74</v>
      </c>
      <c r="AY970" t="s">
        <v>74</v>
      </c>
      <c r="AZ970" t="s">
        <v>74</v>
      </c>
      <c r="BA970" t="s">
        <v>74</v>
      </c>
      <c r="BB970">
        <v>105</v>
      </c>
      <c r="BC970">
        <v>116</v>
      </c>
      <c r="BD970" t="s">
        <v>74</v>
      </c>
      <c r="BE970" t="s">
        <v>13739</v>
      </c>
      <c r="BF970" t="str">
        <f>HYPERLINK("http://dx.doi.org/10.1111/j.1365-246X.2004.02192.x","http://dx.doi.org/10.1111/j.1365-246X.2004.02192.x")</f>
        <v>http://dx.doi.org/10.1111/j.1365-246X.2004.02192.x</v>
      </c>
      <c r="BG970" t="s">
        <v>74</v>
      </c>
      <c r="BH970" t="s">
        <v>74</v>
      </c>
      <c r="BI970">
        <v>12</v>
      </c>
      <c r="BJ970" t="s">
        <v>271</v>
      </c>
      <c r="BK970" t="s">
        <v>139</v>
      </c>
      <c r="BL970" t="s">
        <v>271</v>
      </c>
      <c r="BM970" t="s">
        <v>13727</v>
      </c>
      <c r="BN970" t="s">
        <v>74</v>
      </c>
      <c r="BO970" t="s">
        <v>273</v>
      </c>
      <c r="BP970" t="s">
        <v>74</v>
      </c>
      <c r="BQ970" t="s">
        <v>74</v>
      </c>
      <c r="BR970" t="s">
        <v>98</v>
      </c>
      <c r="BS970" t="s">
        <v>13740</v>
      </c>
      <c r="BT970" t="str">
        <f>HYPERLINK("https%3A%2F%2Fwww.webofscience.com%2Fwos%2Fwoscc%2Ffull-record%2FWOS:000221049700009","View Full Record in Web of Science")</f>
        <v>View Full Record in Web of Science</v>
      </c>
    </row>
    <row r="971" spans="1:72" x14ac:dyDescent="0.15">
      <c r="A971" t="s">
        <v>122</v>
      </c>
      <c r="B971" t="s">
        <v>13741</v>
      </c>
      <c r="C971" t="s">
        <v>74</v>
      </c>
      <c r="D971" t="s">
        <v>74</v>
      </c>
      <c r="E971" t="s">
        <v>74</v>
      </c>
      <c r="F971" t="s">
        <v>13741</v>
      </c>
      <c r="G971" t="s">
        <v>74</v>
      </c>
      <c r="H971" t="s">
        <v>74</v>
      </c>
      <c r="I971" t="s">
        <v>13742</v>
      </c>
      <c r="J971" t="s">
        <v>13713</v>
      </c>
      <c r="K971" t="s">
        <v>74</v>
      </c>
      <c r="L971" t="s">
        <v>74</v>
      </c>
      <c r="M971" t="s">
        <v>79</v>
      </c>
      <c r="N971" t="s">
        <v>126</v>
      </c>
      <c r="O971" t="s">
        <v>74</v>
      </c>
      <c r="P971" t="s">
        <v>74</v>
      </c>
      <c r="Q971" t="s">
        <v>74</v>
      </c>
      <c r="R971" t="s">
        <v>74</v>
      </c>
      <c r="S971" t="s">
        <v>74</v>
      </c>
      <c r="T971" t="s">
        <v>13743</v>
      </c>
      <c r="U971" t="s">
        <v>13744</v>
      </c>
      <c r="V971" t="s">
        <v>13745</v>
      </c>
      <c r="W971" t="s">
        <v>13746</v>
      </c>
      <c r="X971" t="s">
        <v>13747</v>
      </c>
      <c r="Y971" t="s">
        <v>13074</v>
      </c>
      <c r="Z971" t="s">
        <v>13748</v>
      </c>
      <c r="AA971" t="s">
        <v>74</v>
      </c>
      <c r="AB971" t="s">
        <v>13749</v>
      </c>
      <c r="AC971" t="s">
        <v>74</v>
      </c>
      <c r="AD971" t="s">
        <v>74</v>
      </c>
      <c r="AE971" t="s">
        <v>74</v>
      </c>
      <c r="AF971" t="s">
        <v>74</v>
      </c>
      <c r="AG971">
        <v>29</v>
      </c>
      <c r="AH971">
        <v>4</v>
      </c>
      <c r="AI971">
        <v>4</v>
      </c>
      <c r="AJ971">
        <v>0</v>
      </c>
      <c r="AK971">
        <v>8</v>
      </c>
      <c r="AL971" t="s">
        <v>196</v>
      </c>
      <c r="AM971" t="s">
        <v>197</v>
      </c>
      <c r="AN971" t="s">
        <v>198</v>
      </c>
      <c r="AO971" t="s">
        <v>13722</v>
      </c>
      <c r="AP971" t="s">
        <v>13723</v>
      </c>
      <c r="AQ971" t="s">
        <v>74</v>
      </c>
      <c r="AR971" t="s">
        <v>13724</v>
      </c>
      <c r="AS971" t="s">
        <v>13725</v>
      </c>
      <c r="AT971" t="s">
        <v>13430</v>
      </c>
      <c r="AU971">
        <v>2004</v>
      </c>
      <c r="AV971">
        <v>157</v>
      </c>
      <c r="AW971">
        <v>1</v>
      </c>
      <c r="AX971" t="s">
        <v>74</v>
      </c>
      <c r="AY971" t="s">
        <v>74</v>
      </c>
      <c r="AZ971" t="s">
        <v>74</v>
      </c>
      <c r="BA971" t="s">
        <v>74</v>
      </c>
      <c r="BB971">
        <v>175</v>
      </c>
      <c r="BC971">
        <v>186</v>
      </c>
      <c r="BD971" t="s">
        <v>74</v>
      </c>
      <c r="BE971" t="s">
        <v>13750</v>
      </c>
      <c r="BF971" t="str">
        <f>HYPERLINK("http://dx.doi.org/10.1111/j.1365-246X.2004.02174.x","http://dx.doi.org/10.1111/j.1365-246X.2004.02174.x")</f>
        <v>http://dx.doi.org/10.1111/j.1365-246X.2004.02174.x</v>
      </c>
      <c r="BG971" t="s">
        <v>74</v>
      </c>
      <c r="BH971" t="s">
        <v>74</v>
      </c>
      <c r="BI971">
        <v>12</v>
      </c>
      <c r="BJ971" t="s">
        <v>271</v>
      </c>
      <c r="BK971" t="s">
        <v>139</v>
      </c>
      <c r="BL971" t="s">
        <v>271</v>
      </c>
      <c r="BM971" t="s">
        <v>13727</v>
      </c>
      <c r="BN971" t="s">
        <v>74</v>
      </c>
      <c r="BO971" t="s">
        <v>273</v>
      </c>
      <c r="BP971" t="s">
        <v>74</v>
      </c>
      <c r="BQ971" t="s">
        <v>74</v>
      </c>
      <c r="BR971" t="s">
        <v>98</v>
      </c>
      <c r="BS971" t="s">
        <v>13751</v>
      </c>
      <c r="BT971" t="str">
        <f>HYPERLINK("https%3A%2F%2Fwww.webofscience.com%2Fwos%2Fwoscc%2Ffull-record%2FWOS:000221049700015","View Full Record in Web of Science")</f>
        <v>View Full Record in Web of Science</v>
      </c>
    </row>
    <row r="972" spans="1:72" x14ac:dyDescent="0.15">
      <c r="A972" t="s">
        <v>122</v>
      </c>
      <c r="B972" t="s">
        <v>13752</v>
      </c>
      <c r="C972" t="s">
        <v>74</v>
      </c>
      <c r="D972" t="s">
        <v>74</v>
      </c>
      <c r="E972" t="s">
        <v>74</v>
      </c>
      <c r="F972" t="s">
        <v>13752</v>
      </c>
      <c r="G972" t="s">
        <v>74</v>
      </c>
      <c r="H972" t="s">
        <v>74</v>
      </c>
      <c r="I972" t="s">
        <v>13753</v>
      </c>
      <c r="J972" t="s">
        <v>13713</v>
      </c>
      <c r="K972" t="s">
        <v>74</v>
      </c>
      <c r="L972" t="s">
        <v>74</v>
      </c>
      <c r="M972" t="s">
        <v>79</v>
      </c>
      <c r="N972" t="s">
        <v>126</v>
      </c>
      <c r="O972" t="s">
        <v>74</v>
      </c>
      <c r="P972" t="s">
        <v>74</v>
      </c>
      <c r="Q972" t="s">
        <v>74</v>
      </c>
      <c r="R972" t="s">
        <v>74</v>
      </c>
      <c r="S972" t="s">
        <v>74</v>
      </c>
      <c r="T972" t="s">
        <v>13754</v>
      </c>
      <c r="U972" t="s">
        <v>13755</v>
      </c>
      <c r="V972" t="s">
        <v>13756</v>
      </c>
      <c r="W972" t="s">
        <v>13757</v>
      </c>
      <c r="X972" t="s">
        <v>13758</v>
      </c>
      <c r="Y972" t="s">
        <v>13759</v>
      </c>
      <c r="Z972" t="s">
        <v>13760</v>
      </c>
      <c r="AA972" t="s">
        <v>13761</v>
      </c>
      <c r="AB972" t="s">
        <v>13762</v>
      </c>
      <c r="AC972" t="s">
        <v>74</v>
      </c>
      <c r="AD972" t="s">
        <v>74</v>
      </c>
      <c r="AE972" t="s">
        <v>74</v>
      </c>
      <c r="AF972" t="s">
        <v>74</v>
      </c>
      <c r="AG972">
        <v>44</v>
      </c>
      <c r="AH972">
        <v>231</v>
      </c>
      <c r="AI972">
        <v>246</v>
      </c>
      <c r="AJ972">
        <v>0</v>
      </c>
      <c r="AK972">
        <v>31</v>
      </c>
      <c r="AL972" t="s">
        <v>1330</v>
      </c>
      <c r="AM972" t="s">
        <v>197</v>
      </c>
      <c r="AN972" t="s">
        <v>1331</v>
      </c>
      <c r="AO972" t="s">
        <v>13722</v>
      </c>
      <c r="AP972" t="s">
        <v>74</v>
      </c>
      <c r="AQ972" t="s">
        <v>74</v>
      </c>
      <c r="AR972" t="s">
        <v>13724</v>
      </c>
      <c r="AS972" t="s">
        <v>13725</v>
      </c>
      <c r="AT972" t="s">
        <v>13430</v>
      </c>
      <c r="AU972">
        <v>2004</v>
      </c>
      <c r="AV972">
        <v>157</v>
      </c>
      <c r="AW972">
        <v>1</v>
      </c>
      <c r="AX972" t="s">
        <v>74</v>
      </c>
      <c r="AY972" t="s">
        <v>74</v>
      </c>
      <c r="AZ972" t="s">
        <v>74</v>
      </c>
      <c r="BA972" t="s">
        <v>74</v>
      </c>
      <c r="BB972">
        <v>399</v>
      </c>
      <c r="BC972">
        <v>414</v>
      </c>
      <c r="BD972" t="s">
        <v>74</v>
      </c>
      <c r="BE972" t="s">
        <v>13763</v>
      </c>
      <c r="BF972" t="str">
        <f>HYPERLINK("http://dx.doi.org/10.1111/j.1365-246X.2004.02224.x","http://dx.doi.org/10.1111/j.1365-246X.2004.02224.x")</f>
        <v>http://dx.doi.org/10.1111/j.1365-246X.2004.02224.x</v>
      </c>
      <c r="BG972" t="s">
        <v>74</v>
      </c>
      <c r="BH972" t="s">
        <v>74</v>
      </c>
      <c r="BI972">
        <v>16</v>
      </c>
      <c r="BJ972" t="s">
        <v>271</v>
      </c>
      <c r="BK972" t="s">
        <v>139</v>
      </c>
      <c r="BL972" t="s">
        <v>271</v>
      </c>
      <c r="BM972" t="s">
        <v>13727</v>
      </c>
      <c r="BN972" t="s">
        <v>74</v>
      </c>
      <c r="BO972" t="s">
        <v>13764</v>
      </c>
      <c r="BP972" t="s">
        <v>74</v>
      </c>
      <c r="BQ972" t="s">
        <v>74</v>
      </c>
      <c r="BR972" t="s">
        <v>98</v>
      </c>
      <c r="BS972" t="s">
        <v>13765</v>
      </c>
      <c r="BT972" t="str">
        <f>HYPERLINK("https%3A%2F%2Fwww.webofscience.com%2Fwos%2Fwoscc%2Ffull-record%2FWOS:000221049700033","View Full Record in Web of Science")</f>
        <v>View Full Record in Web of Science</v>
      </c>
    </row>
    <row r="973" spans="1:72" x14ac:dyDescent="0.15">
      <c r="A973" t="s">
        <v>122</v>
      </c>
      <c r="B973" t="s">
        <v>8430</v>
      </c>
      <c r="C973" t="s">
        <v>74</v>
      </c>
      <c r="D973" t="s">
        <v>74</v>
      </c>
      <c r="E973" t="s">
        <v>74</v>
      </c>
      <c r="F973" t="s">
        <v>8430</v>
      </c>
      <c r="G973" t="s">
        <v>74</v>
      </c>
      <c r="H973" t="s">
        <v>74</v>
      </c>
      <c r="I973" t="s">
        <v>13766</v>
      </c>
      <c r="J973" t="s">
        <v>230</v>
      </c>
      <c r="K973" t="s">
        <v>74</v>
      </c>
      <c r="L973" t="s">
        <v>74</v>
      </c>
      <c r="M973" t="s">
        <v>79</v>
      </c>
      <c r="N973" t="s">
        <v>126</v>
      </c>
      <c r="O973" t="s">
        <v>74</v>
      </c>
      <c r="P973" t="s">
        <v>74</v>
      </c>
      <c r="Q973" t="s">
        <v>74</v>
      </c>
      <c r="R973" t="s">
        <v>74</v>
      </c>
      <c r="S973" t="s">
        <v>74</v>
      </c>
      <c r="T973" t="s">
        <v>74</v>
      </c>
      <c r="U973" t="s">
        <v>13767</v>
      </c>
      <c r="V973" t="s">
        <v>13768</v>
      </c>
      <c r="W973" t="s">
        <v>8435</v>
      </c>
      <c r="X973" t="s">
        <v>8436</v>
      </c>
      <c r="Y973" t="s">
        <v>13769</v>
      </c>
      <c r="Z973" t="s">
        <v>13770</v>
      </c>
      <c r="AA973" t="s">
        <v>74</v>
      </c>
      <c r="AB973" t="s">
        <v>13771</v>
      </c>
      <c r="AC973" t="s">
        <v>74</v>
      </c>
      <c r="AD973" t="s">
        <v>74</v>
      </c>
      <c r="AE973" t="s">
        <v>74</v>
      </c>
      <c r="AF973" t="s">
        <v>74</v>
      </c>
      <c r="AG973">
        <v>16</v>
      </c>
      <c r="AH973">
        <v>26</v>
      </c>
      <c r="AI973">
        <v>27</v>
      </c>
      <c r="AJ973">
        <v>0</v>
      </c>
      <c r="AK973">
        <v>4</v>
      </c>
      <c r="AL973" t="s">
        <v>239</v>
      </c>
      <c r="AM973" t="s">
        <v>240</v>
      </c>
      <c r="AN973" t="s">
        <v>241</v>
      </c>
      <c r="AO973" t="s">
        <v>242</v>
      </c>
      <c r="AP973" t="s">
        <v>74</v>
      </c>
      <c r="AQ973" t="s">
        <v>74</v>
      </c>
      <c r="AR973" t="s">
        <v>243</v>
      </c>
      <c r="AS973" t="s">
        <v>244</v>
      </c>
      <c r="AT973" t="s">
        <v>13455</v>
      </c>
      <c r="AU973">
        <v>2004</v>
      </c>
      <c r="AV973">
        <v>31</v>
      </c>
      <c r="AW973">
        <v>7</v>
      </c>
      <c r="AX973" t="s">
        <v>74</v>
      </c>
      <c r="AY973" t="s">
        <v>74</v>
      </c>
      <c r="AZ973" t="s">
        <v>74</v>
      </c>
      <c r="BA973" t="s">
        <v>74</v>
      </c>
      <c r="BB973" t="s">
        <v>74</v>
      </c>
      <c r="BC973" t="s">
        <v>74</v>
      </c>
      <c r="BD973" t="s">
        <v>13772</v>
      </c>
      <c r="BE973" t="s">
        <v>13773</v>
      </c>
      <c r="BF973" t="str">
        <f>HYPERLINK("http://dx.doi.org/10.1029/2003GL019127","http://dx.doi.org/10.1029/2003GL019127")</f>
        <v>http://dx.doi.org/10.1029/2003GL019127</v>
      </c>
      <c r="BG973" t="s">
        <v>74</v>
      </c>
      <c r="BH973" t="s">
        <v>74</v>
      </c>
      <c r="BI973">
        <v>5</v>
      </c>
      <c r="BJ973" t="s">
        <v>248</v>
      </c>
      <c r="BK973" t="s">
        <v>139</v>
      </c>
      <c r="BL973" t="s">
        <v>249</v>
      </c>
      <c r="BM973" t="s">
        <v>13774</v>
      </c>
      <c r="BN973" t="s">
        <v>74</v>
      </c>
      <c r="BO973" t="s">
        <v>329</v>
      </c>
      <c r="BP973" t="s">
        <v>74</v>
      </c>
      <c r="BQ973" t="s">
        <v>74</v>
      </c>
      <c r="BR973" t="s">
        <v>98</v>
      </c>
      <c r="BS973" t="s">
        <v>13775</v>
      </c>
      <c r="BT973" t="str">
        <f>HYPERLINK("https%3A%2F%2Fwww.webofscience.com%2Fwos%2Fwoscc%2Ffull-record%2FWOS:000220743700002","View Full Record in Web of Science")</f>
        <v>View Full Record in Web of Science</v>
      </c>
    </row>
    <row r="974" spans="1:72" x14ac:dyDescent="0.15">
      <c r="A974" t="s">
        <v>122</v>
      </c>
      <c r="B974" t="s">
        <v>13776</v>
      </c>
      <c r="C974" t="s">
        <v>74</v>
      </c>
      <c r="D974" t="s">
        <v>74</v>
      </c>
      <c r="E974" t="s">
        <v>74</v>
      </c>
      <c r="F974" t="s">
        <v>13776</v>
      </c>
      <c r="G974" t="s">
        <v>74</v>
      </c>
      <c r="H974" t="s">
        <v>74</v>
      </c>
      <c r="I974" t="s">
        <v>13777</v>
      </c>
      <c r="J974" t="s">
        <v>13778</v>
      </c>
      <c r="K974" t="s">
        <v>74</v>
      </c>
      <c r="L974" t="s">
        <v>74</v>
      </c>
      <c r="M974" t="s">
        <v>79</v>
      </c>
      <c r="N974" t="s">
        <v>1129</v>
      </c>
      <c r="O974" t="s">
        <v>13779</v>
      </c>
      <c r="P974" t="s">
        <v>13780</v>
      </c>
      <c r="Q974" t="s">
        <v>13781</v>
      </c>
      <c r="R974" t="s">
        <v>74</v>
      </c>
      <c r="S974" t="s">
        <v>74</v>
      </c>
      <c r="T974" t="s">
        <v>13782</v>
      </c>
      <c r="U974" t="s">
        <v>13783</v>
      </c>
      <c r="V974" t="s">
        <v>13784</v>
      </c>
      <c r="W974" t="s">
        <v>13785</v>
      </c>
      <c r="X974" t="s">
        <v>13786</v>
      </c>
      <c r="Y974" t="s">
        <v>13787</v>
      </c>
      <c r="Z974" t="s">
        <v>13788</v>
      </c>
      <c r="AA974" t="s">
        <v>74</v>
      </c>
      <c r="AB974" t="s">
        <v>74</v>
      </c>
      <c r="AC974" t="s">
        <v>74</v>
      </c>
      <c r="AD974" t="s">
        <v>74</v>
      </c>
      <c r="AE974" t="s">
        <v>74</v>
      </c>
      <c r="AF974" t="s">
        <v>74</v>
      </c>
      <c r="AG974">
        <v>50</v>
      </c>
      <c r="AH974">
        <v>35</v>
      </c>
      <c r="AI974">
        <v>36</v>
      </c>
      <c r="AJ974">
        <v>1</v>
      </c>
      <c r="AK974">
        <v>2</v>
      </c>
      <c r="AL974" t="s">
        <v>562</v>
      </c>
      <c r="AM974" t="s">
        <v>532</v>
      </c>
      <c r="AN974" t="s">
        <v>563</v>
      </c>
      <c r="AO974" t="s">
        <v>13789</v>
      </c>
      <c r="AP974" t="s">
        <v>13790</v>
      </c>
      <c r="AQ974" t="s">
        <v>74</v>
      </c>
      <c r="AR974" t="s">
        <v>13791</v>
      </c>
      <c r="AS974" t="s">
        <v>13792</v>
      </c>
      <c r="AT974" t="s">
        <v>13430</v>
      </c>
      <c r="AU974">
        <v>2004</v>
      </c>
      <c r="AV974">
        <v>7</v>
      </c>
      <c r="AW974">
        <v>2</v>
      </c>
      <c r="AX974" t="s">
        <v>74</v>
      </c>
      <c r="AY974" t="s">
        <v>74</v>
      </c>
      <c r="AZ974" t="s">
        <v>74</v>
      </c>
      <c r="BA974" t="s">
        <v>74</v>
      </c>
      <c r="BB974">
        <v>301</v>
      </c>
      <c r="BC974">
        <v>312</v>
      </c>
      <c r="BD974" t="s">
        <v>74</v>
      </c>
      <c r="BE974" t="s">
        <v>13793</v>
      </c>
      <c r="BF974" t="str">
        <f>HYPERLINK("http://dx.doi.org/10.1016/S1342-937X(05)70785-1","http://dx.doi.org/10.1016/S1342-937X(05)70785-1")</f>
        <v>http://dx.doi.org/10.1016/S1342-937X(05)70785-1</v>
      </c>
      <c r="BG974" t="s">
        <v>74</v>
      </c>
      <c r="BH974" t="s">
        <v>74</v>
      </c>
      <c r="BI974">
        <v>12</v>
      </c>
      <c r="BJ974" t="s">
        <v>248</v>
      </c>
      <c r="BK974" t="s">
        <v>1257</v>
      </c>
      <c r="BL974" t="s">
        <v>249</v>
      </c>
      <c r="BM974" t="s">
        <v>13794</v>
      </c>
      <c r="BN974" t="s">
        <v>74</v>
      </c>
      <c r="BO974" t="s">
        <v>74</v>
      </c>
      <c r="BP974" t="s">
        <v>74</v>
      </c>
      <c r="BQ974" t="s">
        <v>74</v>
      </c>
      <c r="BR974" t="s">
        <v>98</v>
      </c>
      <c r="BS974" t="s">
        <v>13795</v>
      </c>
      <c r="BT974" t="str">
        <f>HYPERLINK("https%3A%2F%2Fwww.webofscience.com%2Fwos%2Fwoscc%2Ffull-record%2FWOS:000220792800002","View Full Record in Web of Science")</f>
        <v>View Full Record in Web of Science</v>
      </c>
    </row>
    <row r="975" spans="1:72" x14ac:dyDescent="0.15">
      <c r="A975" t="s">
        <v>122</v>
      </c>
      <c r="B975" t="s">
        <v>13796</v>
      </c>
      <c r="C975" t="s">
        <v>74</v>
      </c>
      <c r="D975" t="s">
        <v>74</v>
      </c>
      <c r="E975" t="s">
        <v>74</v>
      </c>
      <c r="F975" t="s">
        <v>13796</v>
      </c>
      <c r="G975" t="s">
        <v>74</v>
      </c>
      <c r="H975" t="s">
        <v>74</v>
      </c>
      <c r="I975" t="s">
        <v>13797</v>
      </c>
      <c r="J975" t="s">
        <v>13778</v>
      </c>
      <c r="K975" t="s">
        <v>74</v>
      </c>
      <c r="L975" t="s">
        <v>74</v>
      </c>
      <c r="M975" t="s">
        <v>79</v>
      </c>
      <c r="N975" t="s">
        <v>1129</v>
      </c>
      <c r="O975" t="s">
        <v>13779</v>
      </c>
      <c r="P975" t="s">
        <v>13780</v>
      </c>
      <c r="Q975" t="s">
        <v>13781</v>
      </c>
      <c r="R975" t="s">
        <v>74</v>
      </c>
      <c r="S975" t="s">
        <v>74</v>
      </c>
      <c r="T975" t="s">
        <v>13798</v>
      </c>
      <c r="U975" t="s">
        <v>13799</v>
      </c>
      <c r="V975" t="s">
        <v>13800</v>
      </c>
      <c r="W975" t="s">
        <v>13801</v>
      </c>
      <c r="X975" t="s">
        <v>10005</v>
      </c>
      <c r="Y975" t="s">
        <v>13802</v>
      </c>
      <c r="Z975" t="s">
        <v>13803</v>
      </c>
      <c r="AA975" t="s">
        <v>74</v>
      </c>
      <c r="AB975" t="s">
        <v>13804</v>
      </c>
      <c r="AC975" t="s">
        <v>74</v>
      </c>
      <c r="AD975" t="s">
        <v>74</v>
      </c>
      <c r="AE975" t="s">
        <v>74</v>
      </c>
      <c r="AF975" t="s">
        <v>74</v>
      </c>
      <c r="AG975">
        <v>51</v>
      </c>
      <c r="AH975">
        <v>24</v>
      </c>
      <c r="AI975">
        <v>25</v>
      </c>
      <c r="AJ975">
        <v>0</v>
      </c>
      <c r="AK975">
        <v>2</v>
      </c>
      <c r="AL975" t="s">
        <v>13805</v>
      </c>
      <c r="AM975" t="s">
        <v>13806</v>
      </c>
      <c r="AN975" t="s">
        <v>13807</v>
      </c>
      <c r="AO975" t="s">
        <v>13789</v>
      </c>
      <c r="AP975" t="s">
        <v>74</v>
      </c>
      <c r="AQ975" t="s">
        <v>74</v>
      </c>
      <c r="AR975" t="s">
        <v>13791</v>
      </c>
      <c r="AS975" t="s">
        <v>13792</v>
      </c>
      <c r="AT975" t="s">
        <v>13430</v>
      </c>
      <c r="AU975">
        <v>2004</v>
      </c>
      <c r="AV975">
        <v>7</v>
      </c>
      <c r="AW975">
        <v>2</v>
      </c>
      <c r="AX975" t="s">
        <v>74</v>
      </c>
      <c r="AY975" t="s">
        <v>74</v>
      </c>
      <c r="AZ975" t="s">
        <v>74</v>
      </c>
      <c r="BA975" t="s">
        <v>74</v>
      </c>
      <c r="BB975">
        <v>363</v>
      </c>
      <c r="BC975">
        <v>373</v>
      </c>
      <c r="BD975" t="s">
        <v>74</v>
      </c>
      <c r="BE975" t="s">
        <v>13808</v>
      </c>
      <c r="BF975" t="str">
        <f>HYPERLINK("http://dx.doi.org/10.1016/S1342-937X(05)70790-5","http://dx.doi.org/10.1016/S1342-937X(05)70790-5")</f>
        <v>http://dx.doi.org/10.1016/S1342-937X(05)70790-5</v>
      </c>
      <c r="BG975" t="s">
        <v>74</v>
      </c>
      <c r="BH975" t="s">
        <v>74</v>
      </c>
      <c r="BI975">
        <v>11</v>
      </c>
      <c r="BJ975" t="s">
        <v>248</v>
      </c>
      <c r="BK975" t="s">
        <v>1150</v>
      </c>
      <c r="BL975" t="s">
        <v>249</v>
      </c>
      <c r="BM975" t="s">
        <v>13794</v>
      </c>
      <c r="BN975" t="s">
        <v>74</v>
      </c>
      <c r="BO975" t="s">
        <v>74</v>
      </c>
      <c r="BP975" t="s">
        <v>74</v>
      </c>
      <c r="BQ975" t="s">
        <v>74</v>
      </c>
      <c r="BR975" t="s">
        <v>98</v>
      </c>
      <c r="BS975" t="s">
        <v>13809</v>
      </c>
      <c r="BT975" t="str">
        <f>HYPERLINK("https%3A%2F%2Fwww.webofscience.com%2Fwos%2Fwoscc%2Ffull-record%2FWOS:000220792800007","View Full Record in Web of Science")</f>
        <v>View Full Record in Web of Science</v>
      </c>
    </row>
    <row r="976" spans="1:72" x14ac:dyDescent="0.15">
      <c r="A976" t="s">
        <v>122</v>
      </c>
      <c r="B976" t="s">
        <v>13810</v>
      </c>
      <c r="C976" t="s">
        <v>74</v>
      </c>
      <c r="D976" t="s">
        <v>74</v>
      </c>
      <c r="E976" t="s">
        <v>74</v>
      </c>
      <c r="F976" t="s">
        <v>13810</v>
      </c>
      <c r="G976" t="s">
        <v>74</v>
      </c>
      <c r="H976" t="s">
        <v>74</v>
      </c>
      <c r="I976" t="s">
        <v>13811</v>
      </c>
      <c r="J976" t="s">
        <v>6136</v>
      </c>
      <c r="K976" t="s">
        <v>74</v>
      </c>
      <c r="L976" t="s">
        <v>74</v>
      </c>
      <c r="M976" t="s">
        <v>79</v>
      </c>
      <c r="N976" t="s">
        <v>126</v>
      </c>
      <c r="O976" t="s">
        <v>74</v>
      </c>
      <c r="P976" t="s">
        <v>74</v>
      </c>
      <c r="Q976" t="s">
        <v>74</v>
      </c>
      <c r="R976" t="s">
        <v>74</v>
      </c>
      <c r="S976" t="s">
        <v>74</v>
      </c>
      <c r="T976" t="s">
        <v>13812</v>
      </c>
      <c r="U976" t="s">
        <v>13813</v>
      </c>
      <c r="V976" t="s">
        <v>13814</v>
      </c>
      <c r="W976" t="s">
        <v>13815</v>
      </c>
      <c r="X976" t="s">
        <v>13816</v>
      </c>
      <c r="Y976" t="s">
        <v>13817</v>
      </c>
      <c r="Z976" t="s">
        <v>13818</v>
      </c>
      <c r="AA976" t="s">
        <v>13819</v>
      </c>
      <c r="AB976" t="s">
        <v>74</v>
      </c>
      <c r="AC976" t="s">
        <v>74</v>
      </c>
      <c r="AD976" t="s">
        <v>74</v>
      </c>
      <c r="AE976" t="s">
        <v>74</v>
      </c>
      <c r="AF976" t="s">
        <v>74</v>
      </c>
      <c r="AG976">
        <v>54</v>
      </c>
      <c r="AH976">
        <v>53</v>
      </c>
      <c r="AI976">
        <v>58</v>
      </c>
      <c r="AJ976">
        <v>0</v>
      </c>
      <c r="AK976">
        <v>9</v>
      </c>
      <c r="AL976" t="s">
        <v>196</v>
      </c>
      <c r="AM976" t="s">
        <v>197</v>
      </c>
      <c r="AN976" t="s">
        <v>198</v>
      </c>
      <c r="AO976" t="s">
        <v>6144</v>
      </c>
      <c r="AP976" t="s">
        <v>6145</v>
      </c>
      <c r="AQ976" t="s">
        <v>74</v>
      </c>
      <c r="AR976" t="s">
        <v>6146</v>
      </c>
      <c r="AS976" t="s">
        <v>6147</v>
      </c>
      <c r="AT976" t="s">
        <v>13430</v>
      </c>
      <c r="AU976">
        <v>2004</v>
      </c>
      <c r="AV976">
        <v>61</v>
      </c>
      <c r="AW976">
        <v>2</v>
      </c>
      <c r="AX976" t="s">
        <v>74</v>
      </c>
      <c r="AY976" t="s">
        <v>74</v>
      </c>
      <c r="AZ976" t="s">
        <v>74</v>
      </c>
      <c r="BA976" t="s">
        <v>74</v>
      </c>
      <c r="BB976">
        <v>184</v>
      </c>
      <c r="BC976">
        <v>200</v>
      </c>
      <c r="BD976" t="s">
        <v>74</v>
      </c>
      <c r="BE976" t="s">
        <v>13820</v>
      </c>
      <c r="BF976" t="str">
        <f>HYPERLINK("http://dx.doi.org/10.1016/j.icesjms.2003.10.011","http://dx.doi.org/10.1016/j.icesjms.2003.10.011")</f>
        <v>http://dx.doi.org/10.1016/j.icesjms.2003.10.011</v>
      </c>
      <c r="BG976" t="s">
        <v>74</v>
      </c>
      <c r="BH976" t="s">
        <v>74</v>
      </c>
      <c r="BI976">
        <v>17</v>
      </c>
      <c r="BJ976" t="s">
        <v>6149</v>
      </c>
      <c r="BK976" t="s">
        <v>139</v>
      </c>
      <c r="BL976" t="s">
        <v>6149</v>
      </c>
      <c r="BM976" t="s">
        <v>13821</v>
      </c>
      <c r="BN976" t="s">
        <v>74</v>
      </c>
      <c r="BO976" t="s">
        <v>273</v>
      </c>
      <c r="BP976" t="s">
        <v>74</v>
      </c>
      <c r="BQ976" t="s">
        <v>74</v>
      </c>
      <c r="BR976" t="s">
        <v>98</v>
      </c>
      <c r="BS976" t="s">
        <v>13822</v>
      </c>
      <c r="BT976" t="str">
        <f>HYPERLINK("https%3A%2F%2Fwww.webofscience.com%2Fwos%2Fwoscc%2Ffull-record%2FWOS:000220422300004","View Full Record in Web of Science")</f>
        <v>View Full Record in Web of Science</v>
      </c>
    </row>
    <row r="977" spans="1:72" x14ac:dyDescent="0.15">
      <c r="A977" t="s">
        <v>122</v>
      </c>
      <c r="B977" t="s">
        <v>13823</v>
      </c>
      <c r="C977" t="s">
        <v>74</v>
      </c>
      <c r="D977" t="s">
        <v>74</v>
      </c>
      <c r="E977" t="s">
        <v>74</v>
      </c>
      <c r="F977" t="s">
        <v>13823</v>
      </c>
      <c r="G977" t="s">
        <v>74</v>
      </c>
      <c r="H977" t="s">
        <v>74</v>
      </c>
      <c r="I977" t="s">
        <v>13824</v>
      </c>
      <c r="J977" t="s">
        <v>1411</v>
      </c>
      <c r="K977" t="s">
        <v>74</v>
      </c>
      <c r="L977" t="s">
        <v>74</v>
      </c>
      <c r="M977" t="s">
        <v>79</v>
      </c>
      <c r="N977" t="s">
        <v>126</v>
      </c>
      <c r="O977" t="s">
        <v>74</v>
      </c>
      <c r="P977" t="s">
        <v>74</v>
      </c>
      <c r="Q977" t="s">
        <v>74</v>
      </c>
      <c r="R977" t="s">
        <v>74</v>
      </c>
      <c r="S977" t="s">
        <v>74</v>
      </c>
      <c r="T977" t="s">
        <v>13825</v>
      </c>
      <c r="U977" t="s">
        <v>13826</v>
      </c>
      <c r="V977" t="s">
        <v>13827</v>
      </c>
      <c r="W977" t="s">
        <v>13828</v>
      </c>
      <c r="X977" t="s">
        <v>13829</v>
      </c>
      <c r="Y977" t="s">
        <v>13830</v>
      </c>
      <c r="Z977" t="s">
        <v>13831</v>
      </c>
      <c r="AA977" t="s">
        <v>74</v>
      </c>
      <c r="AB977" t="s">
        <v>13832</v>
      </c>
      <c r="AC977" t="s">
        <v>74</v>
      </c>
      <c r="AD977" t="s">
        <v>74</v>
      </c>
      <c r="AE977" t="s">
        <v>74</v>
      </c>
      <c r="AF977" t="s">
        <v>74</v>
      </c>
      <c r="AG977">
        <v>42</v>
      </c>
      <c r="AH977">
        <v>59</v>
      </c>
      <c r="AI977">
        <v>66</v>
      </c>
      <c r="AJ977">
        <v>2</v>
      </c>
      <c r="AK977">
        <v>9</v>
      </c>
      <c r="AL977" t="s">
        <v>1418</v>
      </c>
      <c r="AM977" t="s">
        <v>1419</v>
      </c>
      <c r="AN977" t="s">
        <v>1420</v>
      </c>
      <c r="AO977" t="s">
        <v>1421</v>
      </c>
      <c r="AP977" t="s">
        <v>1422</v>
      </c>
      <c r="AQ977" t="s">
        <v>74</v>
      </c>
      <c r="AR977" t="s">
        <v>1423</v>
      </c>
      <c r="AS977" t="s">
        <v>1424</v>
      </c>
      <c r="AT977" t="s">
        <v>13430</v>
      </c>
      <c r="AU977">
        <v>2004</v>
      </c>
      <c r="AV977">
        <v>24</v>
      </c>
      <c r="AW977">
        <v>5</v>
      </c>
      <c r="AX977" t="s">
        <v>74</v>
      </c>
      <c r="AY977" t="s">
        <v>74</v>
      </c>
      <c r="AZ977" t="s">
        <v>74</v>
      </c>
      <c r="BA977" t="s">
        <v>74</v>
      </c>
      <c r="BB977">
        <v>643</v>
      </c>
      <c r="BC977">
        <v>662</v>
      </c>
      <c r="BD977" t="s">
        <v>74</v>
      </c>
      <c r="BE977" t="s">
        <v>13833</v>
      </c>
      <c r="BF977" t="str">
        <f>HYPERLINK("http://dx.doi.org/10.1002/joc.1025","http://dx.doi.org/10.1002/joc.1025")</f>
        <v>http://dx.doi.org/10.1002/joc.1025</v>
      </c>
      <c r="BG977" t="s">
        <v>74</v>
      </c>
      <c r="BH977" t="s">
        <v>74</v>
      </c>
      <c r="BI977">
        <v>20</v>
      </c>
      <c r="BJ977" t="s">
        <v>291</v>
      </c>
      <c r="BK977" t="s">
        <v>139</v>
      </c>
      <c r="BL977" t="s">
        <v>291</v>
      </c>
      <c r="BM977" t="s">
        <v>13834</v>
      </c>
      <c r="BN977" t="s">
        <v>74</v>
      </c>
      <c r="BO977" t="s">
        <v>74</v>
      </c>
      <c r="BP977" t="s">
        <v>74</v>
      </c>
      <c r="BQ977" t="s">
        <v>74</v>
      </c>
      <c r="BR977" t="s">
        <v>98</v>
      </c>
      <c r="BS977" t="s">
        <v>13835</v>
      </c>
      <c r="BT977" t="str">
        <f>HYPERLINK("https%3A%2F%2Fwww.webofscience.com%2Fwos%2Fwoscc%2Ffull-record%2FWOS:000221062700008","View Full Record in Web of Science")</f>
        <v>View Full Record in Web of Science</v>
      </c>
    </row>
    <row r="978" spans="1:72" x14ac:dyDescent="0.15">
      <c r="A978" t="s">
        <v>122</v>
      </c>
      <c r="B978" t="s">
        <v>13836</v>
      </c>
      <c r="C978" t="s">
        <v>74</v>
      </c>
      <c r="D978" t="s">
        <v>74</v>
      </c>
      <c r="E978" t="s">
        <v>74</v>
      </c>
      <c r="F978" t="s">
        <v>13836</v>
      </c>
      <c r="G978" t="s">
        <v>74</v>
      </c>
      <c r="H978" t="s">
        <v>74</v>
      </c>
      <c r="I978" t="s">
        <v>13837</v>
      </c>
      <c r="J978" t="s">
        <v>13838</v>
      </c>
      <c r="K978" t="s">
        <v>74</v>
      </c>
      <c r="L978" t="s">
        <v>74</v>
      </c>
      <c r="M978" t="s">
        <v>79</v>
      </c>
      <c r="N978" t="s">
        <v>52</v>
      </c>
      <c r="O978" t="s">
        <v>13839</v>
      </c>
      <c r="P978" t="s">
        <v>13840</v>
      </c>
      <c r="Q978" t="s">
        <v>13841</v>
      </c>
      <c r="R978" t="s">
        <v>74</v>
      </c>
      <c r="S978" t="s">
        <v>74</v>
      </c>
      <c r="T978" t="s">
        <v>74</v>
      </c>
      <c r="U978" t="s">
        <v>74</v>
      </c>
      <c r="V978" t="s">
        <v>74</v>
      </c>
      <c r="W978" t="s">
        <v>13842</v>
      </c>
      <c r="X978" t="s">
        <v>13843</v>
      </c>
      <c r="Y978" t="s">
        <v>74</v>
      </c>
      <c r="Z978" t="s">
        <v>74</v>
      </c>
      <c r="AA978" t="s">
        <v>1396</v>
      </c>
      <c r="AB978" t="s">
        <v>1397</v>
      </c>
      <c r="AC978" t="s">
        <v>74</v>
      </c>
      <c r="AD978" t="s">
        <v>74</v>
      </c>
      <c r="AE978" t="s">
        <v>74</v>
      </c>
      <c r="AF978" t="s">
        <v>74</v>
      </c>
      <c r="AG978">
        <v>0</v>
      </c>
      <c r="AH978">
        <v>0</v>
      </c>
      <c r="AI978">
        <v>0</v>
      </c>
      <c r="AJ978">
        <v>0</v>
      </c>
      <c r="AK978">
        <v>4</v>
      </c>
      <c r="AL978" t="s">
        <v>13844</v>
      </c>
      <c r="AM978" t="s">
        <v>13845</v>
      </c>
      <c r="AN978" t="s">
        <v>13846</v>
      </c>
      <c r="AO978" t="s">
        <v>13847</v>
      </c>
      <c r="AP978" t="s">
        <v>74</v>
      </c>
      <c r="AQ978" t="s">
        <v>74</v>
      </c>
      <c r="AR978" t="s">
        <v>13848</v>
      </c>
      <c r="AS978" t="s">
        <v>13849</v>
      </c>
      <c r="AT978" t="s">
        <v>13430</v>
      </c>
      <c r="AU978">
        <v>2004</v>
      </c>
      <c r="AV978">
        <v>45</v>
      </c>
      <c r="AW978" t="s">
        <v>74</v>
      </c>
      <c r="AX978" t="s">
        <v>74</v>
      </c>
      <c r="AY978">
        <v>2</v>
      </c>
      <c r="AZ978" t="s">
        <v>74</v>
      </c>
      <c r="BA978">
        <v>3968</v>
      </c>
      <c r="BB978" t="s">
        <v>13850</v>
      </c>
      <c r="BC978" t="s">
        <v>13850</v>
      </c>
      <c r="BD978" t="s">
        <v>74</v>
      </c>
      <c r="BE978" t="s">
        <v>74</v>
      </c>
      <c r="BF978" t="s">
        <v>74</v>
      </c>
      <c r="BG978" t="s">
        <v>74</v>
      </c>
      <c r="BH978" t="s">
        <v>74</v>
      </c>
      <c r="BI978">
        <v>1</v>
      </c>
      <c r="BJ978" t="s">
        <v>13851</v>
      </c>
      <c r="BK978" t="s">
        <v>1150</v>
      </c>
      <c r="BL978" t="s">
        <v>13851</v>
      </c>
      <c r="BM978" t="s">
        <v>13852</v>
      </c>
      <c r="BN978" t="s">
        <v>74</v>
      </c>
      <c r="BO978" t="s">
        <v>74</v>
      </c>
      <c r="BP978" t="s">
        <v>74</v>
      </c>
      <c r="BQ978" t="s">
        <v>74</v>
      </c>
      <c r="BR978" t="s">
        <v>98</v>
      </c>
      <c r="BS978" t="s">
        <v>13853</v>
      </c>
      <c r="BT978" t="str">
        <f>HYPERLINK("https%3A%2F%2Fwww.webofscience.com%2Fwos%2Fwoscc%2Ffull-record%2FWOS:000223338201163","View Full Record in Web of Science")</f>
        <v>View Full Record in Web of Science</v>
      </c>
    </row>
    <row r="979" spans="1:72" x14ac:dyDescent="0.15">
      <c r="A979" t="s">
        <v>122</v>
      </c>
      <c r="B979" t="s">
        <v>13854</v>
      </c>
      <c r="C979" t="s">
        <v>74</v>
      </c>
      <c r="D979" t="s">
        <v>74</v>
      </c>
      <c r="E979" t="s">
        <v>74</v>
      </c>
      <c r="F979" t="s">
        <v>13854</v>
      </c>
      <c r="G979" t="s">
        <v>74</v>
      </c>
      <c r="H979" t="s">
        <v>74</v>
      </c>
      <c r="I979" t="s">
        <v>13855</v>
      </c>
      <c r="J979" t="s">
        <v>6225</v>
      </c>
      <c r="K979" t="s">
        <v>74</v>
      </c>
      <c r="L979" t="s">
        <v>74</v>
      </c>
      <c r="M979" t="s">
        <v>79</v>
      </c>
      <c r="N979" t="s">
        <v>1129</v>
      </c>
      <c r="O979" t="s">
        <v>13856</v>
      </c>
      <c r="P979" t="s">
        <v>13857</v>
      </c>
      <c r="Q979" t="s">
        <v>13858</v>
      </c>
      <c r="R979" t="s">
        <v>74</v>
      </c>
      <c r="S979" t="s">
        <v>74</v>
      </c>
      <c r="T979" t="s">
        <v>13859</v>
      </c>
      <c r="U979" t="s">
        <v>13860</v>
      </c>
      <c r="V979" t="s">
        <v>13861</v>
      </c>
      <c r="W979" t="s">
        <v>13862</v>
      </c>
      <c r="X979" t="s">
        <v>13863</v>
      </c>
      <c r="Y979" t="s">
        <v>13864</v>
      </c>
      <c r="Z979" t="s">
        <v>13865</v>
      </c>
      <c r="AA979" t="s">
        <v>74</v>
      </c>
      <c r="AB979" t="s">
        <v>13866</v>
      </c>
      <c r="AC979" t="s">
        <v>74</v>
      </c>
      <c r="AD979" t="s">
        <v>74</v>
      </c>
      <c r="AE979" t="s">
        <v>74</v>
      </c>
      <c r="AF979" t="s">
        <v>74</v>
      </c>
      <c r="AG979">
        <v>40</v>
      </c>
      <c r="AH979">
        <v>18</v>
      </c>
      <c r="AI979">
        <v>18</v>
      </c>
      <c r="AJ979">
        <v>0</v>
      </c>
      <c r="AK979">
        <v>3</v>
      </c>
      <c r="AL979" t="s">
        <v>1273</v>
      </c>
      <c r="AM979" t="s">
        <v>197</v>
      </c>
      <c r="AN979" t="s">
        <v>1274</v>
      </c>
      <c r="AO979" t="s">
        <v>6231</v>
      </c>
      <c r="AP979" t="s">
        <v>6232</v>
      </c>
      <c r="AQ979" t="s">
        <v>74</v>
      </c>
      <c r="AR979" t="s">
        <v>6233</v>
      </c>
      <c r="AS979" t="s">
        <v>6234</v>
      </c>
      <c r="AT979" t="s">
        <v>13589</v>
      </c>
      <c r="AU979">
        <v>2004</v>
      </c>
      <c r="AV979">
        <v>66</v>
      </c>
      <c r="AW979" t="s">
        <v>13867</v>
      </c>
      <c r="AX979" t="s">
        <v>74</v>
      </c>
      <c r="AY979" t="s">
        <v>74</v>
      </c>
      <c r="AZ979" t="s">
        <v>74</v>
      </c>
      <c r="BA979" t="s">
        <v>74</v>
      </c>
      <c r="BB979">
        <v>463</v>
      </c>
      <c r="BC979">
        <v>479</v>
      </c>
      <c r="BD979" t="s">
        <v>74</v>
      </c>
      <c r="BE979" t="s">
        <v>13868</v>
      </c>
      <c r="BF979" t="str">
        <f>HYPERLINK("http://dx.doi.org/10.1016/j.jastp.2004.01.036","http://dx.doi.org/10.1016/j.jastp.2004.01.036")</f>
        <v>http://dx.doi.org/10.1016/j.jastp.2004.01.036</v>
      </c>
      <c r="BG979" t="s">
        <v>74</v>
      </c>
      <c r="BH979" t="s">
        <v>74</v>
      </c>
      <c r="BI979">
        <v>17</v>
      </c>
      <c r="BJ979" t="s">
        <v>6237</v>
      </c>
      <c r="BK979" t="s">
        <v>1257</v>
      </c>
      <c r="BL979" t="s">
        <v>6237</v>
      </c>
      <c r="BM979" t="s">
        <v>13869</v>
      </c>
      <c r="BN979" t="s">
        <v>74</v>
      </c>
      <c r="BO979" t="s">
        <v>74</v>
      </c>
      <c r="BP979" t="s">
        <v>74</v>
      </c>
      <c r="BQ979" t="s">
        <v>74</v>
      </c>
      <c r="BR979" t="s">
        <v>98</v>
      </c>
      <c r="BS979" t="s">
        <v>13870</v>
      </c>
      <c r="BT979" t="str">
        <f>HYPERLINK("https%3A%2F%2Fwww.webofscience.com%2Fwos%2Fwoscc%2Ffull-record%2FWOS:000221716900005","View Full Record in Web of Science")</f>
        <v>View Full Record in Web of Science</v>
      </c>
    </row>
    <row r="980" spans="1:72" x14ac:dyDescent="0.15">
      <c r="A980" t="s">
        <v>122</v>
      </c>
      <c r="B980" t="s">
        <v>13871</v>
      </c>
      <c r="C980" t="s">
        <v>74</v>
      </c>
      <c r="D980" t="s">
        <v>74</v>
      </c>
      <c r="E980" t="s">
        <v>74</v>
      </c>
      <c r="F980" t="s">
        <v>13871</v>
      </c>
      <c r="G980" t="s">
        <v>74</v>
      </c>
      <c r="H980" t="s">
        <v>74</v>
      </c>
      <c r="I980" t="s">
        <v>13872</v>
      </c>
      <c r="J980" t="s">
        <v>6225</v>
      </c>
      <c r="K980" t="s">
        <v>74</v>
      </c>
      <c r="L980" t="s">
        <v>74</v>
      </c>
      <c r="M980" t="s">
        <v>79</v>
      </c>
      <c r="N980" t="s">
        <v>1129</v>
      </c>
      <c r="O980" t="s">
        <v>13856</v>
      </c>
      <c r="P980" t="s">
        <v>13857</v>
      </c>
      <c r="Q980" t="s">
        <v>13858</v>
      </c>
      <c r="R980" t="s">
        <v>74</v>
      </c>
      <c r="S980" t="s">
        <v>74</v>
      </c>
      <c r="T980" t="s">
        <v>13873</v>
      </c>
      <c r="U980" t="s">
        <v>13874</v>
      </c>
      <c r="V980" t="s">
        <v>13875</v>
      </c>
      <c r="W980" t="s">
        <v>13876</v>
      </c>
      <c r="X980" t="s">
        <v>103</v>
      </c>
      <c r="Y980" t="s">
        <v>13877</v>
      </c>
      <c r="Z980" t="s">
        <v>13878</v>
      </c>
      <c r="AA980" t="s">
        <v>74</v>
      </c>
      <c r="AB980" t="s">
        <v>13879</v>
      </c>
      <c r="AC980" t="s">
        <v>74</v>
      </c>
      <c r="AD980" t="s">
        <v>74</v>
      </c>
      <c r="AE980" t="s">
        <v>74</v>
      </c>
      <c r="AF980" t="s">
        <v>74</v>
      </c>
      <c r="AG980">
        <v>60</v>
      </c>
      <c r="AH980">
        <v>27</v>
      </c>
      <c r="AI980">
        <v>27</v>
      </c>
      <c r="AJ980">
        <v>0</v>
      </c>
      <c r="AK980">
        <v>0</v>
      </c>
      <c r="AL980" t="s">
        <v>1273</v>
      </c>
      <c r="AM980" t="s">
        <v>197</v>
      </c>
      <c r="AN980" t="s">
        <v>1274</v>
      </c>
      <c r="AO980" t="s">
        <v>6231</v>
      </c>
      <c r="AP980" t="s">
        <v>6232</v>
      </c>
      <c r="AQ980" t="s">
        <v>74</v>
      </c>
      <c r="AR980" t="s">
        <v>6233</v>
      </c>
      <c r="AS980" t="s">
        <v>6234</v>
      </c>
      <c r="AT980" t="s">
        <v>13589</v>
      </c>
      <c r="AU980">
        <v>2004</v>
      </c>
      <c r="AV980">
        <v>66</v>
      </c>
      <c r="AW980" t="s">
        <v>13867</v>
      </c>
      <c r="AX980" t="s">
        <v>74</v>
      </c>
      <c r="AY980" t="s">
        <v>74</v>
      </c>
      <c r="AZ980" t="s">
        <v>74</v>
      </c>
      <c r="BA980" t="s">
        <v>74</v>
      </c>
      <c r="BB980">
        <v>493</v>
      </c>
      <c r="BC980">
        <v>506</v>
      </c>
      <c r="BD980" t="s">
        <v>74</v>
      </c>
      <c r="BE980" t="s">
        <v>13880</v>
      </c>
      <c r="BF980" t="str">
        <f>HYPERLINK("http://dx.doi.org/10.1016/j.jastp.2004.01.027","http://dx.doi.org/10.1016/j.jastp.2004.01.027")</f>
        <v>http://dx.doi.org/10.1016/j.jastp.2004.01.027</v>
      </c>
      <c r="BG980" t="s">
        <v>74</v>
      </c>
      <c r="BH980" t="s">
        <v>74</v>
      </c>
      <c r="BI980">
        <v>14</v>
      </c>
      <c r="BJ980" t="s">
        <v>6237</v>
      </c>
      <c r="BK980" t="s">
        <v>1257</v>
      </c>
      <c r="BL980" t="s">
        <v>6237</v>
      </c>
      <c r="BM980" t="s">
        <v>13869</v>
      </c>
      <c r="BN980" t="s">
        <v>74</v>
      </c>
      <c r="BO980" t="s">
        <v>74</v>
      </c>
      <c r="BP980" t="s">
        <v>74</v>
      </c>
      <c r="BQ980" t="s">
        <v>74</v>
      </c>
      <c r="BR980" t="s">
        <v>98</v>
      </c>
      <c r="BS980" t="s">
        <v>13881</v>
      </c>
      <c r="BT980" t="str">
        <f>HYPERLINK("https%3A%2F%2Fwww.webofscience.com%2Fwos%2Fwoscc%2Ffull-record%2FWOS:000221716900007","View Full Record in Web of Science")</f>
        <v>View Full Record in Web of Science</v>
      </c>
    </row>
    <row r="981" spans="1:72" x14ac:dyDescent="0.15">
      <c r="A981" t="s">
        <v>122</v>
      </c>
      <c r="B981" t="s">
        <v>13882</v>
      </c>
      <c r="C981" t="s">
        <v>74</v>
      </c>
      <c r="D981" t="s">
        <v>74</v>
      </c>
      <c r="E981" t="s">
        <v>74</v>
      </c>
      <c r="F981" t="s">
        <v>13882</v>
      </c>
      <c r="G981" t="s">
        <v>74</v>
      </c>
      <c r="H981" t="s">
        <v>74</v>
      </c>
      <c r="I981" t="s">
        <v>13883</v>
      </c>
      <c r="J981" t="s">
        <v>6225</v>
      </c>
      <c r="K981" t="s">
        <v>74</v>
      </c>
      <c r="L981" t="s">
        <v>74</v>
      </c>
      <c r="M981" t="s">
        <v>79</v>
      </c>
      <c r="N981" t="s">
        <v>1129</v>
      </c>
      <c r="O981" t="s">
        <v>13856</v>
      </c>
      <c r="P981" t="s">
        <v>13857</v>
      </c>
      <c r="Q981" t="s">
        <v>13858</v>
      </c>
      <c r="R981" t="s">
        <v>74</v>
      </c>
      <c r="S981" t="s">
        <v>74</v>
      </c>
      <c r="T981" t="s">
        <v>13884</v>
      </c>
      <c r="U981" t="s">
        <v>13885</v>
      </c>
      <c r="V981" t="s">
        <v>13886</v>
      </c>
      <c r="W981" t="s">
        <v>13887</v>
      </c>
      <c r="X981" t="s">
        <v>13888</v>
      </c>
      <c r="Y981" t="s">
        <v>13889</v>
      </c>
      <c r="Z981" t="s">
        <v>13890</v>
      </c>
      <c r="AA981" t="s">
        <v>74</v>
      </c>
      <c r="AB981" t="s">
        <v>74</v>
      </c>
      <c r="AC981" t="s">
        <v>74</v>
      </c>
      <c r="AD981" t="s">
        <v>74</v>
      </c>
      <c r="AE981" t="s">
        <v>74</v>
      </c>
      <c r="AF981" t="s">
        <v>74</v>
      </c>
      <c r="AG981">
        <v>22</v>
      </c>
      <c r="AH981">
        <v>36</v>
      </c>
      <c r="AI981">
        <v>38</v>
      </c>
      <c r="AJ981">
        <v>0</v>
      </c>
      <c r="AK981">
        <v>1</v>
      </c>
      <c r="AL981" t="s">
        <v>1273</v>
      </c>
      <c r="AM981" t="s">
        <v>197</v>
      </c>
      <c r="AN981" t="s">
        <v>1274</v>
      </c>
      <c r="AO981" t="s">
        <v>6231</v>
      </c>
      <c r="AP981" t="s">
        <v>74</v>
      </c>
      <c r="AQ981" t="s">
        <v>74</v>
      </c>
      <c r="AR981" t="s">
        <v>6233</v>
      </c>
      <c r="AS981" t="s">
        <v>6234</v>
      </c>
      <c r="AT981" t="s">
        <v>13589</v>
      </c>
      <c r="AU981">
        <v>2004</v>
      </c>
      <c r="AV981">
        <v>66</v>
      </c>
      <c r="AW981" t="s">
        <v>13867</v>
      </c>
      <c r="AX981" t="s">
        <v>74</v>
      </c>
      <c r="AY981" t="s">
        <v>74</v>
      </c>
      <c r="AZ981" t="s">
        <v>74</v>
      </c>
      <c r="BA981" t="s">
        <v>74</v>
      </c>
      <c r="BB981">
        <v>607</v>
      </c>
      <c r="BC981">
        <v>616</v>
      </c>
      <c r="BD981" t="s">
        <v>74</v>
      </c>
      <c r="BE981" t="s">
        <v>13891</v>
      </c>
      <c r="BF981" t="str">
        <f>HYPERLINK("http://dx.doi.org/10.1016/j.jastp.2004.01.012","http://dx.doi.org/10.1016/j.jastp.2004.01.012")</f>
        <v>http://dx.doi.org/10.1016/j.jastp.2004.01.012</v>
      </c>
      <c r="BG981" t="s">
        <v>74</v>
      </c>
      <c r="BH981" t="s">
        <v>74</v>
      </c>
      <c r="BI981">
        <v>10</v>
      </c>
      <c r="BJ981" t="s">
        <v>6237</v>
      </c>
      <c r="BK981" t="s">
        <v>1150</v>
      </c>
      <c r="BL981" t="s">
        <v>6237</v>
      </c>
      <c r="BM981" t="s">
        <v>13869</v>
      </c>
      <c r="BN981" t="s">
        <v>74</v>
      </c>
      <c r="BO981" t="s">
        <v>74</v>
      </c>
      <c r="BP981" t="s">
        <v>74</v>
      </c>
      <c r="BQ981" t="s">
        <v>74</v>
      </c>
      <c r="BR981" t="s">
        <v>98</v>
      </c>
      <c r="BS981" t="s">
        <v>13892</v>
      </c>
      <c r="BT981" t="str">
        <f>HYPERLINK("https%3A%2F%2Fwww.webofscience.com%2Fwos%2Fwoscc%2Ffull-record%2FWOS:000221716900016","View Full Record in Web of Science")</f>
        <v>View Full Record in Web of Science</v>
      </c>
    </row>
    <row r="982" spans="1:72" x14ac:dyDescent="0.15">
      <c r="A982" t="s">
        <v>122</v>
      </c>
      <c r="B982" t="s">
        <v>13893</v>
      </c>
      <c r="C982" t="s">
        <v>74</v>
      </c>
      <c r="D982" t="s">
        <v>74</v>
      </c>
      <c r="E982" t="s">
        <v>74</v>
      </c>
      <c r="F982" t="s">
        <v>13893</v>
      </c>
      <c r="G982" t="s">
        <v>74</v>
      </c>
      <c r="H982" t="s">
        <v>74</v>
      </c>
      <c r="I982" t="s">
        <v>13894</v>
      </c>
      <c r="J982" t="s">
        <v>1562</v>
      </c>
      <c r="K982" t="s">
        <v>74</v>
      </c>
      <c r="L982" t="s">
        <v>74</v>
      </c>
      <c r="M982" t="s">
        <v>79</v>
      </c>
      <c r="N982" t="s">
        <v>126</v>
      </c>
      <c r="O982" t="s">
        <v>74</v>
      </c>
      <c r="P982" t="s">
        <v>74</v>
      </c>
      <c r="Q982" t="s">
        <v>74</v>
      </c>
      <c r="R982" t="s">
        <v>74</v>
      </c>
      <c r="S982" t="s">
        <v>74</v>
      </c>
      <c r="T982" t="s">
        <v>74</v>
      </c>
      <c r="U982" t="s">
        <v>13895</v>
      </c>
      <c r="V982" t="s">
        <v>13896</v>
      </c>
      <c r="W982" t="s">
        <v>13897</v>
      </c>
      <c r="X982" t="s">
        <v>571</v>
      </c>
      <c r="Y982" t="s">
        <v>13898</v>
      </c>
      <c r="Z982" t="s">
        <v>13899</v>
      </c>
      <c r="AA982" t="s">
        <v>13900</v>
      </c>
      <c r="AB982" t="s">
        <v>74</v>
      </c>
      <c r="AC982" t="s">
        <v>74</v>
      </c>
      <c r="AD982" t="s">
        <v>74</v>
      </c>
      <c r="AE982" t="s">
        <v>74</v>
      </c>
      <c r="AF982" t="s">
        <v>74</v>
      </c>
      <c r="AG982">
        <v>33</v>
      </c>
      <c r="AH982">
        <v>393</v>
      </c>
      <c r="AI982">
        <v>457</v>
      </c>
      <c r="AJ982">
        <v>9</v>
      </c>
      <c r="AK982">
        <v>125</v>
      </c>
      <c r="AL982" t="s">
        <v>1571</v>
      </c>
      <c r="AM982" t="s">
        <v>1572</v>
      </c>
      <c r="AN982" t="s">
        <v>1573</v>
      </c>
      <c r="AO982" t="s">
        <v>1574</v>
      </c>
      <c r="AP982" t="s">
        <v>74</v>
      </c>
      <c r="AQ982" t="s">
        <v>74</v>
      </c>
      <c r="AR982" t="s">
        <v>1576</v>
      </c>
      <c r="AS982" t="s">
        <v>1577</v>
      </c>
      <c r="AT982" t="s">
        <v>13430</v>
      </c>
      <c r="AU982">
        <v>2004</v>
      </c>
      <c r="AV982">
        <v>17</v>
      </c>
      <c r="AW982">
        <v>7</v>
      </c>
      <c r="AX982" t="s">
        <v>74</v>
      </c>
      <c r="AY982" t="s">
        <v>74</v>
      </c>
      <c r="AZ982" t="s">
        <v>74</v>
      </c>
      <c r="BA982" t="s">
        <v>74</v>
      </c>
      <c r="BB982">
        <v>1550</v>
      </c>
      <c r="BC982">
        <v>1568</v>
      </c>
      <c r="BD982" t="s">
        <v>74</v>
      </c>
      <c r="BE982" t="s">
        <v>13901</v>
      </c>
      <c r="BF982" t="str">
        <f>HYPERLINK("http://dx.doi.org/10.1175/1520-0442(2004)017&lt;1550:TROSAF&gt;2.0.CO;2","http://dx.doi.org/10.1175/1520-0442(2004)017&lt;1550:TROSAF&gt;2.0.CO;2")</f>
        <v>http://dx.doi.org/10.1175/1520-0442(2004)017&lt;1550:TROSAF&gt;2.0.CO;2</v>
      </c>
      <c r="BG982" t="s">
        <v>74</v>
      </c>
      <c r="BH982" t="s">
        <v>74</v>
      </c>
      <c r="BI982">
        <v>19</v>
      </c>
      <c r="BJ982" t="s">
        <v>291</v>
      </c>
      <c r="BK982" t="s">
        <v>139</v>
      </c>
      <c r="BL982" t="s">
        <v>291</v>
      </c>
      <c r="BM982" t="s">
        <v>13902</v>
      </c>
      <c r="BN982" t="s">
        <v>74</v>
      </c>
      <c r="BO982" t="s">
        <v>1866</v>
      </c>
      <c r="BP982" t="s">
        <v>74</v>
      </c>
      <c r="BQ982" t="s">
        <v>74</v>
      </c>
      <c r="BR982" t="s">
        <v>98</v>
      </c>
      <c r="BS982" t="s">
        <v>13903</v>
      </c>
      <c r="BT982" t="str">
        <f>HYPERLINK("https%3A%2F%2Fwww.webofscience.com%2Fwos%2Fwoscc%2Ffull-record%2FWOS:000220609700009","View Full Record in Web of Science")</f>
        <v>View Full Record in Web of Science</v>
      </c>
    </row>
    <row r="983" spans="1:72" x14ac:dyDescent="0.15">
      <c r="A983" t="s">
        <v>122</v>
      </c>
      <c r="B983" t="s">
        <v>13904</v>
      </c>
      <c r="C983" t="s">
        <v>74</v>
      </c>
      <c r="D983" t="s">
        <v>74</v>
      </c>
      <c r="E983" t="s">
        <v>74</v>
      </c>
      <c r="F983" t="s">
        <v>13904</v>
      </c>
      <c r="G983" t="s">
        <v>74</v>
      </c>
      <c r="H983" t="s">
        <v>74</v>
      </c>
      <c r="I983" t="s">
        <v>13905</v>
      </c>
      <c r="J983" t="s">
        <v>1562</v>
      </c>
      <c r="K983" t="s">
        <v>74</v>
      </c>
      <c r="L983" t="s">
        <v>74</v>
      </c>
      <c r="M983" t="s">
        <v>79</v>
      </c>
      <c r="N983" t="s">
        <v>126</v>
      </c>
      <c r="O983" t="s">
        <v>74</v>
      </c>
      <c r="P983" t="s">
        <v>74</v>
      </c>
      <c r="Q983" t="s">
        <v>74</v>
      </c>
      <c r="R983" t="s">
        <v>74</v>
      </c>
      <c r="S983" t="s">
        <v>74</v>
      </c>
      <c r="T983" t="s">
        <v>74</v>
      </c>
      <c r="U983" t="s">
        <v>13906</v>
      </c>
      <c r="V983" t="s">
        <v>13907</v>
      </c>
      <c r="W983" t="s">
        <v>13908</v>
      </c>
      <c r="X983" t="s">
        <v>13909</v>
      </c>
      <c r="Y983" t="s">
        <v>13910</v>
      </c>
      <c r="Z983" t="s">
        <v>13911</v>
      </c>
      <c r="AA983" t="s">
        <v>13912</v>
      </c>
      <c r="AB983" t="s">
        <v>13913</v>
      </c>
      <c r="AC983" t="s">
        <v>74</v>
      </c>
      <c r="AD983" t="s">
        <v>74</v>
      </c>
      <c r="AE983" t="s">
        <v>74</v>
      </c>
      <c r="AF983" t="s">
        <v>74</v>
      </c>
      <c r="AG983">
        <v>51</v>
      </c>
      <c r="AH983">
        <v>85</v>
      </c>
      <c r="AI983">
        <v>98</v>
      </c>
      <c r="AJ983">
        <v>1</v>
      </c>
      <c r="AK983">
        <v>18</v>
      </c>
      <c r="AL983" t="s">
        <v>1571</v>
      </c>
      <c r="AM983" t="s">
        <v>1572</v>
      </c>
      <c r="AN983" t="s">
        <v>1573</v>
      </c>
      <c r="AO983" t="s">
        <v>1574</v>
      </c>
      <c r="AP983" t="s">
        <v>1575</v>
      </c>
      <c r="AQ983" t="s">
        <v>74</v>
      </c>
      <c r="AR983" t="s">
        <v>1576</v>
      </c>
      <c r="AS983" t="s">
        <v>1577</v>
      </c>
      <c r="AT983" t="s">
        <v>13430</v>
      </c>
      <c r="AU983">
        <v>2004</v>
      </c>
      <c r="AV983">
        <v>17</v>
      </c>
      <c r="AW983">
        <v>7</v>
      </c>
      <c r="AX983" t="s">
        <v>74</v>
      </c>
      <c r="AY983" t="s">
        <v>74</v>
      </c>
      <c r="AZ983" t="s">
        <v>74</v>
      </c>
      <c r="BA983" t="s">
        <v>74</v>
      </c>
      <c r="BB983">
        <v>1569</v>
      </c>
      <c r="BC983">
        <v>1583</v>
      </c>
      <c r="BD983" t="s">
        <v>74</v>
      </c>
      <c r="BE983" t="s">
        <v>13914</v>
      </c>
      <c r="BF983" t="str">
        <f>HYPERLINK("http://dx.doi.org/10.1175/1520-0442(2004)017&lt;1569:RCVIAF&gt;2.0.CO;2","http://dx.doi.org/10.1175/1520-0442(2004)017&lt;1569:RCVIAF&gt;2.0.CO;2")</f>
        <v>http://dx.doi.org/10.1175/1520-0442(2004)017&lt;1569:RCVIAF&gt;2.0.CO;2</v>
      </c>
      <c r="BG983" t="s">
        <v>74</v>
      </c>
      <c r="BH983" t="s">
        <v>74</v>
      </c>
      <c r="BI983">
        <v>15</v>
      </c>
      <c r="BJ983" t="s">
        <v>291</v>
      </c>
      <c r="BK983" t="s">
        <v>139</v>
      </c>
      <c r="BL983" t="s">
        <v>291</v>
      </c>
      <c r="BM983" t="s">
        <v>13902</v>
      </c>
      <c r="BN983" t="s">
        <v>74</v>
      </c>
      <c r="BO983" t="s">
        <v>1866</v>
      </c>
      <c r="BP983" t="s">
        <v>74</v>
      </c>
      <c r="BQ983" t="s">
        <v>74</v>
      </c>
      <c r="BR983" t="s">
        <v>98</v>
      </c>
      <c r="BS983" t="s">
        <v>13915</v>
      </c>
      <c r="BT983" t="str">
        <f>HYPERLINK("https%3A%2F%2Fwww.webofscience.com%2Fwos%2Fwoscc%2Ffull-record%2FWOS:000220609700010","View Full Record in Web of Science")</f>
        <v>View Full Record in Web of Science</v>
      </c>
    </row>
    <row r="984" spans="1:72" x14ac:dyDescent="0.15">
      <c r="A984" t="s">
        <v>122</v>
      </c>
      <c r="B984" t="s">
        <v>13916</v>
      </c>
      <c r="C984" t="s">
        <v>74</v>
      </c>
      <c r="D984" t="s">
        <v>74</v>
      </c>
      <c r="E984" t="s">
        <v>74</v>
      </c>
      <c r="F984" t="s">
        <v>13916</v>
      </c>
      <c r="G984" t="s">
        <v>74</v>
      </c>
      <c r="H984" t="s">
        <v>74</v>
      </c>
      <c r="I984" t="s">
        <v>13917</v>
      </c>
      <c r="J984" t="s">
        <v>13918</v>
      </c>
      <c r="K984" t="s">
        <v>74</v>
      </c>
      <c r="L984" t="s">
        <v>74</v>
      </c>
      <c r="M984" t="s">
        <v>79</v>
      </c>
      <c r="N984" t="s">
        <v>918</v>
      </c>
      <c r="O984" t="s">
        <v>74</v>
      </c>
      <c r="P984" t="s">
        <v>74</v>
      </c>
      <c r="Q984" t="s">
        <v>74</v>
      </c>
      <c r="R984" t="s">
        <v>74</v>
      </c>
      <c r="S984" t="s">
        <v>74</v>
      </c>
      <c r="T984" t="s">
        <v>74</v>
      </c>
      <c r="U984" t="s">
        <v>13919</v>
      </c>
      <c r="V984" t="s">
        <v>74</v>
      </c>
      <c r="W984" t="s">
        <v>13920</v>
      </c>
      <c r="X984" t="s">
        <v>13921</v>
      </c>
      <c r="Y984" t="s">
        <v>13922</v>
      </c>
      <c r="Z984" t="s">
        <v>13923</v>
      </c>
      <c r="AA984" t="s">
        <v>74</v>
      </c>
      <c r="AB984" t="s">
        <v>74</v>
      </c>
      <c r="AC984" t="s">
        <v>74</v>
      </c>
      <c r="AD984" t="s">
        <v>74</v>
      </c>
      <c r="AE984" t="s">
        <v>74</v>
      </c>
      <c r="AF984" t="s">
        <v>74</v>
      </c>
      <c r="AG984">
        <v>35</v>
      </c>
      <c r="AH984">
        <v>6</v>
      </c>
      <c r="AI984">
        <v>6</v>
      </c>
      <c r="AJ984">
        <v>0</v>
      </c>
      <c r="AK984">
        <v>1</v>
      </c>
      <c r="AL984" t="s">
        <v>13924</v>
      </c>
      <c r="AM984" t="s">
        <v>240</v>
      </c>
      <c r="AN984" t="s">
        <v>13925</v>
      </c>
      <c r="AO984" t="s">
        <v>13926</v>
      </c>
      <c r="AP984" t="s">
        <v>13927</v>
      </c>
      <c r="AQ984" t="s">
        <v>74</v>
      </c>
      <c r="AR984" t="s">
        <v>13928</v>
      </c>
      <c r="AS984" t="s">
        <v>13929</v>
      </c>
      <c r="AT984" t="s">
        <v>13430</v>
      </c>
      <c r="AU984">
        <v>2004</v>
      </c>
      <c r="AV984">
        <v>89</v>
      </c>
      <c r="AW984">
        <v>4</v>
      </c>
      <c r="AX984" t="s">
        <v>74</v>
      </c>
      <c r="AY984" t="s">
        <v>74</v>
      </c>
      <c r="AZ984" t="s">
        <v>74</v>
      </c>
      <c r="BA984" t="s">
        <v>74</v>
      </c>
      <c r="BB984">
        <v>1526</v>
      </c>
      <c r="BC984">
        <v>1528</v>
      </c>
      <c r="BD984" t="s">
        <v>74</v>
      </c>
      <c r="BE984" t="s">
        <v>13930</v>
      </c>
      <c r="BF984" t="str">
        <f>HYPERLINK("http://dx.doi.org/10.1210/jc.2004-0332","http://dx.doi.org/10.1210/jc.2004-0332")</f>
        <v>http://dx.doi.org/10.1210/jc.2004-0332</v>
      </c>
      <c r="BG984" t="s">
        <v>74</v>
      </c>
      <c r="BH984" t="s">
        <v>74</v>
      </c>
      <c r="BI984">
        <v>3</v>
      </c>
      <c r="BJ984" t="s">
        <v>4683</v>
      </c>
      <c r="BK984" t="s">
        <v>139</v>
      </c>
      <c r="BL984" t="s">
        <v>4683</v>
      </c>
      <c r="BM984" t="s">
        <v>13931</v>
      </c>
      <c r="BN984">
        <v>15070907</v>
      </c>
      <c r="BO984" t="s">
        <v>273</v>
      </c>
      <c r="BP984" t="s">
        <v>74</v>
      </c>
      <c r="BQ984" t="s">
        <v>74</v>
      </c>
      <c r="BR984" t="s">
        <v>98</v>
      </c>
      <c r="BS984" t="s">
        <v>13932</v>
      </c>
      <c r="BT984" t="str">
        <f>HYPERLINK("https%3A%2F%2Fwww.webofscience.com%2Fwos%2Fwoscc%2Ffull-record%2FWOS:000220714500003","View Full Record in Web of Science")</f>
        <v>View Full Record in Web of Science</v>
      </c>
    </row>
    <row r="985" spans="1:72" x14ac:dyDescent="0.15">
      <c r="A985" t="s">
        <v>122</v>
      </c>
      <c r="B985" t="s">
        <v>13933</v>
      </c>
      <c r="C985" t="s">
        <v>74</v>
      </c>
      <c r="D985" t="s">
        <v>74</v>
      </c>
      <c r="E985" t="s">
        <v>74</v>
      </c>
      <c r="F985" t="s">
        <v>13933</v>
      </c>
      <c r="G985" t="s">
        <v>74</v>
      </c>
      <c r="H985" t="s">
        <v>74</v>
      </c>
      <c r="I985" t="s">
        <v>13934</v>
      </c>
      <c r="J985" t="s">
        <v>13918</v>
      </c>
      <c r="K985" t="s">
        <v>74</v>
      </c>
      <c r="L985" t="s">
        <v>74</v>
      </c>
      <c r="M985" t="s">
        <v>79</v>
      </c>
      <c r="N985" t="s">
        <v>1129</v>
      </c>
      <c r="O985" t="s">
        <v>13935</v>
      </c>
      <c r="P985" t="s">
        <v>13936</v>
      </c>
      <c r="Q985" t="s">
        <v>13937</v>
      </c>
      <c r="R985" t="s">
        <v>74</v>
      </c>
      <c r="S985" t="s">
        <v>74</v>
      </c>
      <c r="T985" t="s">
        <v>74</v>
      </c>
      <c r="U985" t="s">
        <v>13938</v>
      </c>
      <c r="V985" t="s">
        <v>13939</v>
      </c>
      <c r="W985" t="s">
        <v>13940</v>
      </c>
      <c r="X985" t="s">
        <v>13941</v>
      </c>
      <c r="Y985" t="s">
        <v>13942</v>
      </c>
      <c r="Z985" t="s">
        <v>13943</v>
      </c>
      <c r="AA985" t="s">
        <v>74</v>
      </c>
      <c r="AB985" t="s">
        <v>13944</v>
      </c>
      <c r="AC985" t="s">
        <v>74</v>
      </c>
      <c r="AD985" t="s">
        <v>74</v>
      </c>
      <c r="AE985" t="s">
        <v>74</v>
      </c>
      <c r="AF985" t="s">
        <v>74</v>
      </c>
      <c r="AG985">
        <v>23</v>
      </c>
      <c r="AH985">
        <v>22</v>
      </c>
      <c r="AI985">
        <v>23</v>
      </c>
      <c r="AJ985">
        <v>0</v>
      </c>
      <c r="AK985">
        <v>0</v>
      </c>
      <c r="AL985" t="s">
        <v>13924</v>
      </c>
      <c r="AM985" t="s">
        <v>240</v>
      </c>
      <c r="AN985" t="s">
        <v>13925</v>
      </c>
      <c r="AO985" t="s">
        <v>13926</v>
      </c>
      <c r="AP985" t="s">
        <v>13927</v>
      </c>
      <c r="AQ985" t="s">
        <v>74</v>
      </c>
      <c r="AR985" t="s">
        <v>13928</v>
      </c>
      <c r="AS985" t="s">
        <v>13929</v>
      </c>
      <c r="AT985" t="s">
        <v>13430</v>
      </c>
      <c r="AU985">
        <v>2004</v>
      </c>
      <c r="AV985">
        <v>89</v>
      </c>
      <c r="AW985">
        <v>4</v>
      </c>
      <c r="AX985" t="s">
        <v>74</v>
      </c>
      <c r="AY985" t="s">
        <v>74</v>
      </c>
      <c r="AZ985" t="s">
        <v>74</v>
      </c>
      <c r="BA985" t="s">
        <v>74</v>
      </c>
      <c r="BB985">
        <v>1529</v>
      </c>
      <c r="BC985">
        <v>1533</v>
      </c>
      <c r="BD985" t="s">
        <v>74</v>
      </c>
      <c r="BE985" t="s">
        <v>13945</v>
      </c>
      <c r="BF985" t="str">
        <f>HYPERLINK("http://dx.doi.org/10.1210/jc.2003-031747","http://dx.doi.org/10.1210/jc.2003-031747")</f>
        <v>http://dx.doi.org/10.1210/jc.2003-031747</v>
      </c>
      <c r="BG985" t="s">
        <v>74</v>
      </c>
      <c r="BH985" t="s">
        <v>74</v>
      </c>
      <c r="BI985">
        <v>5</v>
      </c>
      <c r="BJ985" t="s">
        <v>4683</v>
      </c>
      <c r="BK985" t="s">
        <v>1257</v>
      </c>
      <c r="BL985" t="s">
        <v>4683</v>
      </c>
      <c r="BM985" t="s">
        <v>13931</v>
      </c>
      <c r="BN985">
        <v>15070908</v>
      </c>
      <c r="BO985" t="s">
        <v>273</v>
      </c>
      <c r="BP985" t="s">
        <v>74</v>
      </c>
      <c r="BQ985" t="s">
        <v>74</v>
      </c>
      <c r="BR985" t="s">
        <v>98</v>
      </c>
      <c r="BS985" t="s">
        <v>13946</v>
      </c>
      <c r="BT985" t="str">
        <f>HYPERLINK("https%3A%2F%2Fwww.webofscience.com%2Fwos%2Fwoscc%2Ffull-record%2FWOS:000220714500004","View Full Record in Web of Science")</f>
        <v>View Full Record in Web of Science</v>
      </c>
    </row>
    <row r="986" spans="1:72" x14ac:dyDescent="0.15">
      <c r="A986" t="s">
        <v>122</v>
      </c>
      <c r="B986" t="s">
        <v>13947</v>
      </c>
      <c r="C986" t="s">
        <v>74</v>
      </c>
      <c r="D986" t="s">
        <v>74</v>
      </c>
      <c r="E986" t="s">
        <v>74</v>
      </c>
      <c r="F986" t="s">
        <v>13947</v>
      </c>
      <c r="G986" t="s">
        <v>74</v>
      </c>
      <c r="H986" t="s">
        <v>74</v>
      </c>
      <c r="I986" t="s">
        <v>13948</v>
      </c>
      <c r="J986" t="s">
        <v>1595</v>
      </c>
      <c r="K986" t="s">
        <v>74</v>
      </c>
      <c r="L986" t="s">
        <v>74</v>
      </c>
      <c r="M986" t="s">
        <v>79</v>
      </c>
      <c r="N986" t="s">
        <v>126</v>
      </c>
      <c r="O986" t="s">
        <v>74</v>
      </c>
      <c r="P986" t="s">
        <v>74</v>
      </c>
      <c r="Q986" t="s">
        <v>74</v>
      </c>
      <c r="R986" t="s">
        <v>74</v>
      </c>
      <c r="S986" t="s">
        <v>74</v>
      </c>
      <c r="T986" t="s">
        <v>13949</v>
      </c>
      <c r="U986" t="s">
        <v>13950</v>
      </c>
      <c r="V986" t="s">
        <v>13951</v>
      </c>
      <c r="W986" t="s">
        <v>13952</v>
      </c>
      <c r="X986" t="s">
        <v>7550</v>
      </c>
      <c r="Y986" t="s">
        <v>13953</v>
      </c>
      <c r="Z986" t="s">
        <v>13954</v>
      </c>
      <c r="AA986" t="s">
        <v>13955</v>
      </c>
      <c r="AB986" t="s">
        <v>13956</v>
      </c>
      <c r="AC986" t="s">
        <v>74</v>
      </c>
      <c r="AD986" t="s">
        <v>74</v>
      </c>
      <c r="AE986" t="s">
        <v>74</v>
      </c>
      <c r="AF986" t="s">
        <v>74</v>
      </c>
      <c r="AG986">
        <v>58</v>
      </c>
      <c r="AH986">
        <v>59</v>
      </c>
      <c r="AI986">
        <v>71</v>
      </c>
      <c r="AJ986">
        <v>0</v>
      </c>
      <c r="AK986">
        <v>53</v>
      </c>
      <c r="AL986" t="s">
        <v>4607</v>
      </c>
      <c r="AM986" t="s">
        <v>1604</v>
      </c>
      <c r="AN986" t="s">
        <v>4608</v>
      </c>
      <c r="AO986" t="s">
        <v>1606</v>
      </c>
      <c r="AP986" t="s">
        <v>74</v>
      </c>
      <c r="AQ986" t="s">
        <v>74</v>
      </c>
      <c r="AR986" t="s">
        <v>1608</v>
      </c>
      <c r="AS986" t="s">
        <v>1609</v>
      </c>
      <c r="AT986" t="s">
        <v>13430</v>
      </c>
      <c r="AU986">
        <v>2004</v>
      </c>
      <c r="AV986">
        <v>207</v>
      </c>
      <c r="AW986">
        <v>10</v>
      </c>
      <c r="AX986" t="s">
        <v>74</v>
      </c>
      <c r="AY986" t="s">
        <v>74</v>
      </c>
      <c r="AZ986" t="s">
        <v>74</v>
      </c>
      <c r="BA986" t="s">
        <v>74</v>
      </c>
      <c r="BB986">
        <v>1615</v>
      </c>
      <c r="BC986">
        <v>1624</v>
      </c>
      <c r="BD986" t="s">
        <v>74</v>
      </c>
      <c r="BE986" t="s">
        <v>13957</v>
      </c>
      <c r="BF986" t="str">
        <f>HYPERLINK("http://dx.doi.org/10.1242/jeb.00952","http://dx.doi.org/10.1242/jeb.00952")</f>
        <v>http://dx.doi.org/10.1242/jeb.00952</v>
      </c>
      <c r="BG986" t="s">
        <v>74</v>
      </c>
      <c r="BH986" t="s">
        <v>74</v>
      </c>
      <c r="BI986">
        <v>10</v>
      </c>
      <c r="BJ986" t="s">
        <v>1611</v>
      </c>
      <c r="BK986" t="s">
        <v>139</v>
      </c>
      <c r="BL986" t="s">
        <v>1612</v>
      </c>
      <c r="BM986" t="s">
        <v>13958</v>
      </c>
      <c r="BN986">
        <v>15073194</v>
      </c>
      <c r="BO986" t="s">
        <v>74</v>
      </c>
      <c r="BP986" t="s">
        <v>74</v>
      </c>
      <c r="BQ986" t="s">
        <v>74</v>
      </c>
      <c r="BR986" t="s">
        <v>98</v>
      </c>
      <c r="BS986" t="s">
        <v>13959</v>
      </c>
      <c r="BT986" t="str">
        <f>HYPERLINK("https%3A%2F%2Fwww.webofscience.com%2Fwos%2Fwoscc%2Ffull-record%2FWOS:000221571100008","View Full Record in Web of Science")</f>
        <v>View Full Record in Web of Science</v>
      </c>
    </row>
    <row r="987" spans="1:72" x14ac:dyDescent="0.15">
      <c r="A987" t="s">
        <v>122</v>
      </c>
      <c r="B987" t="s">
        <v>13960</v>
      </c>
      <c r="C987" t="s">
        <v>74</v>
      </c>
      <c r="D987" t="s">
        <v>74</v>
      </c>
      <c r="E987" t="s">
        <v>74</v>
      </c>
      <c r="F987" t="s">
        <v>13960</v>
      </c>
      <c r="G987" t="s">
        <v>74</v>
      </c>
      <c r="H987" t="s">
        <v>74</v>
      </c>
      <c r="I987" t="s">
        <v>13961</v>
      </c>
      <c r="J987" t="s">
        <v>12562</v>
      </c>
      <c r="K987" t="s">
        <v>74</v>
      </c>
      <c r="L987" t="s">
        <v>74</v>
      </c>
      <c r="M987" t="s">
        <v>79</v>
      </c>
      <c r="N987" t="s">
        <v>581</v>
      </c>
      <c r="O987" t="s">
        <v>74</v>
      </c>
      <c r="P987" t="s">
        <v>74</v>
      </c>
      <c r="Q987" t="s">
        <v>74</v>
      </c>
      <c r="R987" t="s">
        <v>74</v>
      </c>
      <c r="S987" t="s">
        <v>74</v>
      </c>
      <c r="T987" t="s">
        <v>13962</v>
      </c>
      <c r="U987" t="s">
        <v>13963</v>
      </c>
      <c r="V987" t="s">
        <v>13964</v>
      </c>
      <c r="W987" t="s">
        <v>13965</v>
      </c>
      <c r="X987" t="s">
        <v>13966</v>
      </c>
      <c r="Y987" t="s">
        <v>13967</v>
      </c>
      <c r="Z987" t="s">
        <v>13968</v>
      </c>
      <c r="AA987" t="s">
        <v>13969</v>
      </c>
      <c r="AB987" t="s">
        <v>13970</v>
      </c>
      <c r="AC987" t="s">
        <v>13971</v>
      </c>
      <c r="AD987" t="s">
        <v>5163</v>
      </c>
      <c r="AE987" t="s">
        <v>74</v>
      </c>
      <c r="AF987" t="s">
        <v>74</v>
      </c>
      <c r="AG987">
        <v>121</v>
      </c>
      <c r="AH987">
        <v>27</v>
      </c>
      <c r="AI987">
        <v>32</v>
      </c>
      <c r="AJ987">
        <v>1</v>
      </c>
      <c r="AK987">
        <v>23</v>
      </c>
      <c r="AL987" t="s">
        <v>1418</v>
      </c>
      <c r="AM987" t="s">
        <v>1419</v>
      </c>
      <c r="AN987" t="s">
        <v>1420</v>
      </c>
      <c r="AO987" t="s">
        <v>12572</v>
      </c>
      <c r="AP987" t="s">
        <v>12573</v>
      </c>
      <c r="AQ987" t="s">
        <v>74</v>
      </c>
      <c r="AR987" t="s">
        <v>12574</v>
      </c>
      <c r="AS987" t="s">
        <v>12575</v>
      </c>
      <c r="AT987" t="s">
        <v>13430</v>
      </c>
      <c r="AU987">
        <v>2004</v>
      </c>
      <c r="AV987">
        <v>260</v>
      </c>
      <c r="AW987">
        <v>1</v>
      </c>
      <c r="AX987" t="s">
        <v>74</v>
      </c>
      <c r="AY987" t="s">
        <v>74</v>
      </c>
      <c r="AZ987" t="s">
        <v>74</v>
      </c>
      <c r="BA987" t="s">
        <v>74</v>
      </c>
      <c r="BB987">
        <v>117</v>
      </c>
      <c r="BC987">
        <v>140</v>
      </c>
      <c r="BD987" t="s">
        <v>74</v>
      </c>
      <c r="BE987" t="s">
        <v>13972</v>
      </c>
      <c r="BF987" t="str">
        <f>HYPERLINK("http://dx.doi.org/10.1002/jmor.10221","http://dx.doi.org/10.1002/jmor.10221")</f>
        <v>http://dx.doi.org/10.1002/jmor.10221</v>
      </c>
      <c r="BG987" t="s">
        <v>74</v>
      </c>
      <c r="BH987" t="s">
        <v>74</v>
      </c>
      <c r="BI987">
        <v>24</v>
      </c>
      <c r="BJ987" t="s">
        <v>12577</v>
      </c>
      <c r="BK987" t="s">
        <v>139</v>
      </c>
      <c r="BL987" t="s">
        <v>12577</v>
      </c>
      <c r="BM987" t="s">
        <v>13973</v>
      </c>
      <c r="BN987">
        <v>15052601</v>
      </c>
      <c r="BO987" t="s">
        <v>74</v>
      </c>
      <c r="BP987" t="s">
        <v>74</v>
      </c>
      <c r="BQ987" t="s">
        <v>74</v>
      </c>
      <c r="BR987" t="s">
        <v>98</v>
      </c>
      <c r="BS987" t="s">
        <v>13974</v>
      </c>
      <c r="BT987" t="str">
        <f>HYPERLINK("https%3A%2F%2Fwww.webofscience.com%2Fwos%2Fwoscc%2Ffull-record%2FWOS:000220581200010","View Full Record in Web of Science")</f>
        <v>View Full Record in Web of Science</v>
      </c>
    </row>
    <row r="988" spans="1:72" x14ac:dyDescent="0.15">
      <c r="A988" t="s">
        <v>122</v>
      </c>
      <c r="B988" t="s">
        <v>13975</v>
      </c>
      <c r="C988" t="s">
        <v>74</v>
      </c>
      <c r="D988" t="s">
        <v>74</v>
      </c>
      <c r="E988" t="s">
        <v>74</v>
      </c>
      <c r="F988" t="s">
        <v>13975</v>
      </c>
      <c r="G988" t="s">
        <v>74</v>
      </c>
      <c r="H988" t="s">
        <v>74</v>
      </c>
      <c r="I988" t="s">
        <v>13976</v>
      </c>
      <c r="J988" t="s">
        <v>4688</v>
      </c>
      <c r="K988" t="s">
        <v>74</v>
      </c>
      <c r="L988" t="s">
        <v>74</v>
      </c>
      <c r="M988" t="s">
        <v>79</v>
      </c>
      <c r="N988" t="s">
        <v>126</v>
      </c>
      <c r="O988" t="s">
        <v>74</v>
      </c>
      <c r="P988" t="s">
        <v>74</v>
      </c>
      <c r="Q988" t="s">
        <v>74</v>
      </c>
      <c r="R988" t="s">
        <v>74</v>
      </c>
      <c r="S988" t="s">
        <v>74</v>
      </c>
      <c r="T988" t="s">
        <v>74</v>
      </c>
      <c r="U988" t="s">
        <v>13977</v>
      </c>
      <c r="V988" t="s">
        <v>13978</v>
      </c>
      <c r="W988" t="s">
        <v>13979</v>
      </c>
      <c r="X988" t="s">
        <v>13980</v>
      </c>
      <c r="Y988" t="s">
        <v>13981</v>
      </c>
      <c r="Z988" t="s">
        <v>13982</v>
      </c>
      <c r="AA988" t="s">
        <v>74</v>
      </c>
      <c r="AB988" t="s">
        <v>74</v>
      </c>
      <c r="AC988" t="s">
        <v>74</v>
      </c>
      <c r="AD988" t="s">
        <v>74</v>
      </c>
      <c r="AE988" t="s">
        <v>74</v>
      </c>
      <c r="AF988" t="s">
        <v>74</v>
      </c>
      <c r="AG988">
        <v>5</v>
      </c>
      <c r="AH988">
        <v>12</v>
      </c>
      <c r="AI988">
        <v>13</v>
      </c>
      <c r="AJ988">
        <v>0</v>
      </c>
      <c r="AK988">
        <v>9</v>
      </c>
      <c r="AL988" t="s">
        <v>2170</v>
      </c>
      <c r="AM988" t="s">
        <v>240</v>
      </c>
      <c r="AN988" t="s">
        <v>2171</v>
      </c>
      <c r="AO988" t="s">
        <v>4695</v>
      </c>
      <c r="AP988" t="s">
        <v>4696</v>
      </c>
      <c r="AQ988" t="s">
        <v>74</v>
      </c>
      <c r="AR988" t="s">
        <v>4697</v>
      </c>
      <c r="AS988" t="s">
        <v>4698</v>
      </c>
      <c r="AT988" t="s">
        <v>13430</v>
      </c>
      <c r="AU988">
        <v>2004</v>
      </c>
      <c r="AV988">
        <v>67</v>
      </c>
      <c r="AW988">
        <v>4</v>
      </c>
      <c r="AX988" t="s">
        <v>74</v>
      </c>
      <c r="AY988" t="s">
        <v>74</v>
      </c>
      <c r="AZ988" t="s">
        <v>74</v>
      </c>
      <c r="BA988" t="s">
        <v>74</v>
      </c>
      <c r="BB988">
        <v>672</v>
      </c>
      <c r="BC988">
        <v>674</v>
      </c>
      <c r="BD988" t="s">
        <v>74</v>
      </c>
      <c r="BE988" t="s">
        <v>13983</v>
      </c>
      <c r="BF988" t="str">
        <f>HYPERLINK("http://dx.doi.org/10.1021/np030342t","http://dx.doi.org/10.1021/np030342t")</f>
        <v>http://dx.doi.org/10.1021/np030342t</v>
      </c>
      <c r="BG988" t="s">
        <v>74</v>
      </c>
      <c r="BH988" t="s">
        <v>74</v>
      </c>
      <c r="BI988">
        <v>3</v>
      </c>
      <c r="BJ988" t="s">
        <v>4700</v>
      </c>
      <c r="BK988" t="s">
        <v>4701</v>
      </c>
      <c r="BL988" t="s">
        <v>4702</v>
      </c>
      <c r="BM988" t="s">
        <v>13984</v>
      </c>
      <c r="BN988">
        <v>15104501</v>
      </c>
      <c r="BO988" t="s">
        <v>74</v>
      </c>
      <c r="BP988" t="s">
        <v>74</v>
      </c>
      <c r="BQ988" t="s">
        <v>74</v>
      </c>
      <c r="BR988" t="s">
        <v>98</v>
      </c>
      <c r="BS988" t="s">
        <v>13985</v>
      </c>
      <c r="BT988" t="str">
        <f>HYPERLINK("https%3A%2F%2Fwww.webofscience.com%2Fwos%2Fwoscc%2Ffull-record%2FWOS:000221001000024","View Full Record in Web of Science")</f>
        <v>View Full Record in Web of Science</v>
      </c>
    </row>
    <row r="989" spans="1:72" x14ac:dyDescent="0.15">
      <c r="A989" t="s">
        <v>122</v>
      </c>
      <c r="B989" t="s">
        <v>13986</v>
      </c>
      <c r="C989" t="s">
        <v>74</v>
      </c>
      <c r="D989" t="s">
        <v>74</v>
      </c>
      <c r="E989" t="s">
        <v>74</v>
      </c>
      <c r="F989" t="s">
        <v>13986</v>
      </c>
      <c r="G989" t="s">
        <v>74</v>
      </c>
      <c r="H989" t="s">
        <v>74</v>
      </c>
      <c r="I989" t="s">
        <v>13987</v>
      </c>
      <c r="J989" t="s">
        <v>13988</v>
      </c>
      <c r="K989" t="s">
        <v>74</v>
      </c>
      <c r="L989" t="s">
        <v>74</v>
      </c>
      <c r="M989" t="s">
        <v>79</v>
      </c>
      <c r="N989" t="s">
        <v>581</v>
      </c>
      <c r="O989" t="s">
        <v>74</v>
      </c>
      <c r="P989" t="s">
        <v>74</v>
      </c>
      <c r="Q989" t="s">
        <v>74</v>
      </c>
      <c r="R989" t="s">
        <v>74</v>
      </c>
      <c r="S989" t="s">
        <v>74</v>
      </c>
      <c r="T989" t="s">
        <v>13989</v>
      </c>
      <c r="U989" t="s">
        <v>13990</v>
      </c>
      <c r="V989" t="s">
        <v>13991</v>
      </c>
      <c r="W989" t="s">
        <v>13992</v>
      </c>
      <c r="X989" t="s">
        <v>13993</v>
      </c>
      <c r="Y989" t="s">
        <v>13994</v>
      </c>
      <c r="Z989" t="s">
        <v>8476</v>
      </c>
      <c r="AA989" t="s">
        <v>74</v>
      </c>
      <c r="AB989" t="s">
        <v>8477</v>
      </c>
      <c r="AC989" t="s">
        <v>74</v>
      </c>
      <c r="AD989" t="s">
        <v>74</v>
      </c>
      <c r="AE989" t="s">
        <v>74</v>
      </c>
      <c r="AF989" t="s">
        <v>74</v>
      </c>
      <c r="AG989">
        <v>70</v>
      </c>
      <c r="AH989">
        <v>47</v>
      </c>
      <c r="AI989">
        <v>52</v>
      </c>
      <c r="AJ989">
        <v>2</v>
      </c>
      <c r="AK989">
        <v>21</v>
      </c>
      <c r="AL989" t="s">
        <v>1509</v>
      </c>
      <c r="AM989" t="s">
        <v>1510</v>
      </c>
      <c r="AN989" t="s">
        <v>1511</v>
      </c>
      <c r="AO989" t="s">
        <v>13995</v>
      </c>
      <c r="AP989" t="s">
        <v>13996</v>
      </c>
      <c r="AQ989" t="s">
        <v>74</v>
      </c>
      <c r="AR989" t="s">
        <v>13997</v>
      </c>
      <c r="AS989" t="s">
        <v>13998</v>
      </c>
      <c r="AT989" t="s">
        <v>13430</v>
      </c>
      <c r="AU989">
        <v>2004</v>
      </c>
      <c r="AV989">
        <v>60</v>
      </c>
      <c r="AW989">
        <v>2</v>
      </c>
      <c r="AX989" t="s">
        <v>74</v>
      </c>
      <c r="AY989" t="s">
        <v>74</v>
      </c>
      <c r="AZ989" t="s">
        <v>74</v>
      </c>
      <c r="BA989" t="s">
        <v>74</v>
      </c>
      <c r="BB989">
        <v>205</v>
      </c>
      <c r="BC989">
        <v>218</v>
      </c>
      <c r="BD989" t="s">
        <v>74</v>
      </c>
      <c r="BE989" t="s">
        <v>13999</v>
      </c>
      <c r="BF989" t="str">
        <f>HYPERLINK("http://dx.doi.org/10.1023/B:JOCE.0000038327.33559.34","http://dx.doi.org/10.1023/B:JOCE.0000038327.33559.34")</f>
        <v>http://dx.doi.org/10.1023/B:JOCE.0000038327.33559.34</v>
      </c>
      <c r="BG989" t="s">
        <v>74</v>
      </c>
      <c r="BH989" t="s">
        <v>74</v>
      </c>
      <c r="BI989">
        <v>14</v>
      </c>
      <c r="BJ989" t="s">
        <v>660</v>
      </c>
      <c r="BK989" t="s">
        <v>139</v>
      </c>
      <c r="BL989" t="s">
        <v>660</v>
      </c>
      <c r="BM989" t="s">
        <v>14000</v>
      </c>
      <c r="BN989" t="s">
        <v>74</v>
      </c>
      <c r="BO989" t="s">
        <v>74</v>
      </c>
      <c r="BP989" t="s">
        <v>74</v>
      </c>
      <c r="BQ989" t="s">
        <v>74</v>
      </c>
      <c r="BR989" t="s">
        <v>98</v>
      </c>
      <c r="BS989" t="s">
        <v>14001</v>
      </c>
      <c r="BT989" t="str">
        <f>HYPERLINK("https%3A%2F%2Fwww.webofscience.com%2Fwos%2Fwoscc%2Ffull-record%2FWOS:000220435800001","View Full Record in Web of Science")</f>
        <v>View Full Record in Web of Science</v>
      </c>
    </row>
    <row r="990" spans="1:72" x14ac:dyDescent="0.15">
      <c r="A990" t="s">
        <v>122</v>
      </c>
      <c r="B990" t="s">
        <v>14002</v>
      </c>
      <c r="C990" t="s">
        <v>74</v>
      </c>
      <c r="D990" t="s">
        <v>74</v>
      </c>
      <c r="E990" t="s">
        <v>74</v>
      </c>
      <c r="F990" t="s">
        <v>14002</v>
      </c>
      <c r="G990" t="s">
        <v>74</v>
      </c>
      <c r="H990" t="s">
        <v>74</v>
      </c>
      <c r="I990" t="s">
        <v>14003</v>
      </c>
      <c r="J990" t="s">
        <v>1695</v>
      </c>
      <c r="K990" t="s">
        <v>74</v>
      </c>
      <c r="L990" t="s">
        <v>74</v>
      </c>
      <c r="M990" t="s">
        <v>79</v>
      </c>
      <c r="N990" t="s">
        <v>126</v>
      </c>
      <c r="O990" t="s">
        <v>74</v>
      </c>
      <c r="P990" t="s">
        <v>74</v>
      </c>
      <c r="Q990" t="s">
        <v>74</v>
      </c>
      <c r="R990" t="s">
        <v>74</v>
      </c>
      <c r="S990" t="s">
        <v>74</v>
      </c>
      <c r="T990" t="s">
        <v>74</v>
      </c>
      <c r="U990" t="s">
        <v>14004</v>
      </c>
      <c r="V990" t="s">
        <v>14005</v>
      </c>
      <c r="W990" t="s">
        <v>14006</v>
      </c>
      <c r="X990" t="s">
        <v>14007</v>
      </c>
      <c r="Y990" t="s">
        <v>14008</v>
      </c>
      <c r="Z990" t="s">
        <v>14009</v>
      </c>
      <c r="AA990" t="s">
        <v>14010</v>
      </c>
      <c r="AB990" t="s">
        <v>14011</v>
      </c>
      <c r="AC990" t="s">
        <v>74</v>
      </c>
      <c r="AD990" t="s">
        <v>74</v>
      </c>
      <c r="AE990" t="s">
        <v>74</v>
      </c>
      <c r="AF990" t="s">
        <v>74</v>
      </c>
      <c r="AG990">
        <v>49</v>
      </c>
      <c r="AH990">
        <v>53</v>
      </c>
      <c r="AI990">
        <v>57</v>
      </c>
      <c r="AJ990">
        <v>0</v>
      </c>
      <c r="AK990">
        <v>5</v>
      </c>
      <c r="AL990" t="s">
        <v>196</v>
      </c>
      <c r="AM990" t="s">
        <v>197</v>
      </c>
      <c r="AN990" t="s">
        <v>198</v>
      </c>
      <c r="AO990" t="s">
        <v>1704</v>
      </c>
      <c r="AP990" t="s">
        <v>74</v>
      </c>
      <c r="AQ990" t="s">
        <v>74</v>
      </c>
      <c r="AR990" t="s">
        <v>1706</v>
      </c>
      <c r="AS990" t="s">
        <v>1707</v>
      </c>
      <c r="AT990" t="s">
        <v>13430</v>
      </c>
      <c r="AU990">
        <v>2004</v>
      </c>
      <c r="AV990">
        <v>26</v>
      </c>
      <c r="AW990">
        <v>4</v>
      </c>
      <c r="AX990" t="s">
        <v>74</v>
      </c>
      <c r="AY990" t="s">
        <v>74</v>
      </c>
      <c r="AZ990" t="s">
        <v>74</v>
      </c>
      <c r="BA990" t="s">
        <v>74</v>
      </c>
      <c r="BB990">
        <v>475</v>
      </c>
      <c r="BC990">
        <v>486</v>
      </c>
      <c r="BD990" t="s">
        <v>74</v>
      </c>
      <c r="BE990" t="s">
        <v>14012</v>
      </c>
      <c r="BF990" t="str">
        <f>HYPERLINK("http://dx.doi.org/10.1093/plankt/fbh039","http://dx.doi.org/10.1093/plankt/fbh039")</f>
        <v>http://dx.doi.org/10.1093/plankt/fbh039</v>
      </c>
      <c r="BG990" t="s">
        <v>74</v>
      </c>
      <c r="BH990" t="s">
        <v>74</v>
      </c>
      <c r="BI990">
        <v>12</v>
      </c>
      <c r="BJ990" t="s">
        <v>1709</v>
      </c>
      <c r="BK990" t="s">
        <v>139</v>
      </c>
      <c r="BL990" t="s">
        <v>1709</v>
      </c>
      <c r="BM990" t="s">
        <v>14013</v>
      </c>
      <c r="BN990" t="s">
        <v>74</v>
      </c>
      <c r="BO990" t="s">
        <v>74</v>
      </c>
      <c r="BP990" t="s">
        <v>74</v>
      </c>
      <c r="BQ990" t="s">
        <v>74</v>
      </c>
      <c r="BR990" t="s">
        <v>98</v>
      </c>
      <c r="BS990" t="s">
        <v>14014</v>
      </c>
      <c r="BT990" t="str">
        <f>HYPERLINK("https%3A%2F%2Fwww.webofscience.com%2Fwos%2Fwoscc%2Ffull-record%2FWOS:000220897300008","View Full Record in Web of Science")</f>
        <v>View Full Record in Web of Science</v>
      </c>
    </row>
    <row r="991" spans="1:72" x14ac:dyDescent="0.15">
      <c r="A991" t="s">
        <v>122</v>
      </c>
      <c r="B991" t="s">
        <v>14015</v>
      </c>
      <c r="C991" t="s">
        <v>74</v>
      </c>
      <c r="D991" t="s">
        <v>74</v>
      </c>
      <c r="E991" t="s">
        <v>74</v>
      </c>
      <c r="F991" t="s">
        <v>14015</v>
      </c>
      <c r="G991" t="s">
        <v>74</v>
      </c>
      <c r="H991" t="s">
        <v>74</v>
      </c>
      <c r="I991" t="s">
        <v>14016</v>
      </c>
      <c r="J991" t="s">
        <v>4753</v>
      </c>
      <c r="K991" t="s">
        <v>74</v>
      </c>
      <c r="L991" t="s">
        <v>74</v>
      </c>
      <c r="M991" t="s">
        <v>79</v>
      </c>
      <c r="N991" t="s">
        <v>126</v>
      </c>
      <c r="O991" t="s">
        <v>74</v>
      </c>
      <c r="P991" t="s">
        <v>74</v>
      </c>
      <c r="Q991" t="s">
        <v>74</v>
      </c>
      <c r="R991" t="s">
        <v>74</v>
      </c>
      <c r="S991" t="s">
        <v>74</v>
      </c>
      <c r="T991" t="s">
        <v>74</v>
      </c>
      <c r="U991" t="s">
        <v>14017</v>
      </c>
      <c r="V991" t="s">
        <v>14018</v>
      </c>
      <c r="W991" t="s">
        <v>14019</v>
      </c>
      <c r="X991" t="s">
        <v>14020</v>
      </c>
      <c r="Y991" t="s">
        <v>502</v>
      </c>
      <c r="Z991" t="s">
        <v>7802</v>
      </c>
      <c r="AA991" t="s">
        <v>14021</v>
      </c>
      <c r="AB991" t="s">
        <v>14022</v>
      </c>
      <c r="AC991" t="s">
        <v>74</v>
      </c>
      <c r="AD991" t="s">
        <v>74</v>
      </c>
      <c r="AE991" t="s">
        <v>74</v>
      </c>
      <c r="AF991" t="s">
        <v>74</v>
      </c>
      <c r="AG991">
        <v>31</v>
      </c>
      <c r="AH991">
        <v>32</v>
      </c>
      <c r="AI991">
        <v>34</v>
      </c>
      <c r="AJ991">
        <v>0</v>
      </c>
      <c r="AK991">
        <v>11</v>
      </c>
      <c r="AL991" t="s">
        <v>919</v>
      </c>
      <c r="AM991" t="s">
        <v>613</v>
      </c>
      <c r="AN991" t="s">
        <v>937</v>
      </c>
      <c r="AO991" t="s">
        <v>4760</v>
      </c>
      <c r="AP991" t="s">
        <v>4775</v>
      </c>
      <c r="AQ991" t="s">
        <v>74</v>
      </c>
      <c r="AR991" t="s">
        <v>4761</v>
      </c>
      <c r="AS991" t="s">
        <v>4762</v>
      </c>
      <c r="AT991" t="s">
        <v>13430</v>
      </c>
      <c r="AU991">
        <v>2004</v>
      </c>
      <c r="AV991">
        <v>84</v>
      </c>
      <c r="AW991">
        <v>2</v>
      </c>
      <c r="AX991" t="s">
        <v>74</v>
      </c>
      <c r="AY991" t="s">
        <v>74</v>
      </c>
      <c r="AZ991" t="s">
        <v>74</v>
      </c>
      <c r="BA991" t="s">
        <v>74</v>
      </c>
      <c r="BB991">
        <v>415</v>
      </c>
      <c r="BC991">
        <v>419</v>
      </c>
      <c r="BD991" t="s">
        <v>74</v>
      </c>
      <c r="BE991" t="s">
        <v>14023</v>
      </c>
      <c r="BF991" t="str">
        <f>HYPERLINK("http://dx.doi.org/10.1017/S0025315404009373h","http://dx.doi.org/10.1017/S0025315404009373h")</f>
        <v>http://dx.doi.org/10.1017/S0025315404009373h</v>
      </c>
      <c r="BG991" t="s">
        <v>74</v>
      </c>
      <c r="BH991" t="s">
        <v>74</v>
      </c>
      <c r="BI991">
        <v>5</v>
      </c>
      <c r="BJ991" t="s">
        <v>1763</v>
      </c>
      <c r="BK991" t="s">
        <v>139</v>
      </c>
      <c r="BL991" t="s">
        <v>1763</v>
      </c>
      <c r="BM991" t="s">
        <v>14024</v>
      </c>
      <c r="BN991" t="s">
        <v>74</v>
      </c>
      <c r="BO991" t="s">
        <v>74</v>
      </c>
      <c r="BP991" t="s">
        <v>74</v>
      </c>
      <c r="BQ991" t="s">
        <v>74</v>
      </c>
      <c r="BR991" t="s">
        <v>98</v>
      </c>
      <c r="BS991" t="s">
        <v>14025</v>
      </c>
      <c r="BT991" t="str">
        <f>HYPERLINK("https%3A%2F%2Fwww.webofscience.com%2Fwos%2Fwoscc%2Ffull-record%2FWOS:000221139600020","View Full Record in Web of Science")</f>
        <v>View Full Record in Web of Science</v>
      </c>
    </row>
    <row r="992" spans="1:72" x14ac:dyDescent="0.15">
      <c r="A992" t="s">
        <v>122</v>
      </c>
      <c r="B992" t="s">
        <v>14026</v>
      </c>
      <c r="C992" t="s">
        <v>74</v>
      </c>
      <c r="D992" t="s">
        <v>74</v>
      </c>
      <c r="E992" t="s">
        <v>74</v>
      </c>
      <c r="F992" t="s">
        <v>14026</v>
      </c>
      <c r="G992" t="s">
        <v>74</v>
      </c>
      <c r="H992" t="s">
        <v>74</v>
      </c>
      <c r="I992" t="s">
        <v>14027</v>
      </c>
      <c r="J992" t="s">
        <v>4826</v>
      </c>
      <c r="K992" t="s">
        <v>74</v>
      </c>
      <c r="L992" t="s">
        <v>74</v>
      </c>
      <c r="M992" t="s">
        <v>79</v>
      </c>
      <c r="N992" t="s">
        <v>126</v>
      </c>
      <c r="O992" t="s">
        <v>74</v>
      </c>
      <c r="P992" t="s">
        <v>74</v>
      </c>
      <c r="Q992" t="s">
        <v>74</v>
      </c>
      <c r="R992" t="s">
        <v>74</v>
      </c>
      <c r="S992" t="s">
        <v>74</v>
      </c>
      <c r="T992" t="s">
        <v>14028</v>
      </c>
      <c r="U992" t="s">
        <v>14029</v>
      </c>
      <c r="V992" t="s">
        <v>14030</v>
      </c>
      <c r="W992" t="s">
        <v>14031</v>
      </c>
      <c r="X992" t="s">
        <v>14032</v>
      </c>
      <c r="Y992" t="s">
        <v>502</v>
      </c>
      <c r="Z992" t="s">
        <v>7552</v>
      </c>
      <c r="AA992" t="s">
        <v>9377</v>
      </c>
      <c r="AB992" t="s">
        <v>9378</v>
      </c>
      <c r="AC992" t="s">
        <v>74</v>
      </c>
      <c r="AD992" t="s">
        <v>74</v>
      </c>
      <c r="AE992" t="s">
        <v>74</v>
      </c>
      <c r="AF992" t="s">
        <v>74</v>
      </c>
      <c r="AG992">
        <v>16</v>
      </c>
      <c r="AH992">
        <v>69</v>
      </c>
      <c r="AI992">
        <v>79</v>
      </c>
      <c r="AJ992">
        <v>4</v>
      </c>
      <c r="AK992">
        <v>66</v>
      </c>
      <c r="AL992" t="s">
        <v>1418</v>
      </c>
      <c r="AM992" t="s">
        <v>1419</v>
      </c>
      <c r="AN992" t="s">
        <v>1420</v>
      </c>
      <c r="AO992" t="s">
        <v>4838</v>
      </c>
      <c r="AP992" t="s">
        <v>9466</v>
      </c>
      <c r="AQ992" t="s">
        <v>74</v>
      </c>
      <c r="AR992" t="s">
        <v>4839</v>
      </c>
      <c r="AS992" t="s">
        <v>4840</v>
      </c>
      <c r="AT992" t="s">
        <v>13430</v>
      </c>
      <c r="AU992">
        <v>2004</v>
      </c>
      <c r="AV992">
        <v>20</v>
      </c>
      <c r="AW992">
        <v>2</v>
      </c>
      <c r="AX992" t="s">
        <v>74</v>
      </c>
      <c r="AY992" t="s">
        <v>74</v>
      </c>
      <c r="AZ992" t="s">
        <v>74</v>
      </c>
      <c r="BA992" t="s">
        <v>74</v>
      </c>
      <c r="BB992">
        <v>189</v>
      </c>
      <c r="BC992">
        <v>200</v>
      </c>
      <c r="BD992" t="s">
        <v>74</v>
      </c>
      <c r="BE992" t="s">
        <v>14033</v>
      </c>
      <c r="BF992" t="str">
        <f>HYPERLINK("http://dx.doi.org/10.1111/j.1748-7692.2004.tb01150.x","http://dx.doi.org/10.1111/j.1748-7692.2004.tb01150.x")</f>
        <v>http://dx.doi.org/10.1111/j.1748-7692.2004.tb01150.x</v>
      </c>
      <c r="BG992" t="s">
        <v>74</v>
      </c>
      <c r="BH992" t="s">
        <v>74</v>
      </c>
      <c r="BI992">
        <v>12</v>
      </c>
      <c r="BJ992" t="s">
        <v>4237</v>
      </c>
      <c r="BK992" t="s">
        <v>139</v>
      </c>
      <c r="BL992" t="s">
        <v>4237</v>
      </c>
      <c r="BM992" t="s">
        <v>14034</v>
      </c>
      <c r="BN992" t="s">
        <v>74</v>
      </c>
      <c r="BO992" t="s">
        <v>74</v>
      </c>
      <c r="BP992" t="s">
        <v>74</v>
      </c>
      <c r="BQ992" t="s">
        <v>74</v>
      </c>
      <c r="BR992" t="s">
        <v>98</v>
      </c>
      <c r="BS992" t="s">
        <v>14035</v>
      </c>
      <c r="BT992" t="str">
        <f>HYPERLINK("https%3A%2F%2Fwww.webofscience.com%2Fwos%2Fwoscc%2Ffull-record%2FWOS:000220806900001","View Full Record in Web of Science")</f>
        <v>View Full Record in Web of Science</v>
      </c>
    </row>
    <row r="993" spans="1:72" x14ac:dyDescent="0.15">
      <c r="A993" t="s">
        <v>122</v>
      </c>
      <c r="B993" t="s">
        <v>14036</v>
      </c>
      <c r="C993" t="s">
        <v>74</v>
      </c>
      <c r="D993" t="s">
        <v>74</v>
      </c>
      <c r="E993" t="s">
        <v>74</v>
      </c>
      <c r="F993" t="s">
        <v>14036</v>
      </c>
      <c r="G993" t="s">
        <v>74</v>
      </c>
      <c r="H993" t="s">
        <v>74</v>
      </c>
      <c r="I993" t="s">
        <v>14037</v>
      </c>
      <c r="J993" t="s">
        <v>4826</v>
      </c>
      <c r="K993" t="s">
        <v>74</v>
      </c>
      <c r="L993" t="s">
        <v>74</v>
      </c>
      <c r="M993" t="s">
        <v>79</v>
      </c>
      <c r="N993" t="s">
        <v>126</v>
      </c>
      <c r="O993" t="s">
        <v>74</v>
      </c>
      <c r="P993" t="s">
        <v>74</v>
      </c>
      <c r="Q993" t="s">
        <v>74</v>
      </c>
      <c r="R993" t="s">
        <v>74</v>
      </c>
      <c r="S993" t="s">
        <v>74</v>
      </c>
      <c r="T993" t="s">
        <v>74</v>
      </c>
      <c r="U993" t="s">
        <v>14038</v>
      </c>
      <c r="V993" t="s">
        <v>74</v>
      </c>
      <c r="W993" t="s">
        <v>14039</v>
      </c>
      <c r="X993" t="s">
        <v>14040</v>
      </c>
      <c r="Y993" t="s">
        <v>14041</v>
      </c>
      <c r="Z993" t="s">
        <v>14042</v>
      </c>
      <c r="AA993" t="s">
        <v>74</v>
      </c>
      <c r="AB993" t="s">
        <v>74</v>
      </c>
      <c r="AC993" t="s">
        <v>74</v>
      </c>
      <c r="AD993" t="s">
        <v>74</v>
      </c>
      <c r="AE993" t="s">
        <v>74</v>
      </c>
      <c r="AF993" t="s">
        <v>74</v>
      </c>
      <c r="AG993">
        <v>20</v>
      </c>
      <c r="AH993">
        <v>19</v>
      </c>
      <c r="AI993">
        <v>25</v>
      </c>
      <c r="AJ993">
        <v>0</v>
      </c>
      <c r="AK993">
        <v>21</v>
      </c>
      <c r="AL993" t="s">
        <v>4836</v>
      </c>
      <c r="AM993" t="s">
        <v>3641</v>
      </c>
      <c r="AN993" t="s">
        <v>4837</v>
      </c>
      <c r="AO993" t="s">
        <v>4838</v>
      </c>
      <c r="AP993" t="s">
        <v>74</v>
      </c>
      <c r="AQ993" t="s">
        <v>74</v>
      </c>
      <c r="AR993" t="s">
        <v>4839</v>
      </c>
      <c r="AS993" t="s">
        <v>4840</v>
      </c>
      <c r="AT993" t="s">
        <v>13430</v>
      </c>
      <c r="AU993">
        <v>2004</v>
      </c>
      <c r="AV993">
        <v>20</v>
      </c>
      <c r="AW993">
        <v>2</v>
      </c>
      <c r="AX993" t="s">
        <v>74</v>
      </c>
      <c r="AY993" t="s">
        <v>74</v>
      </c>
      <c r="AZ993" t="s">
        <v>74</v>
      </c>
      <c r="BA993" t="s">
        <v>74</v>
      </c>
      <c r="BB993">
        <v>345</v>
      </c>
      <c r="BC993">
        <v>352</v>
      </c>
      <c r="BD993" t="s">
        <v>74</v>
      </c>
      <c r="BE993" t="s">
        <v>14043</v>
      </c>
      <c r="BF993" t="str">
        <f>HYPERLINK("http://dx.doi.org/10.1111/j.1748-7692.2004.tb01164.x","http://dx.doi.org/10.1111/j.1748-7692.2004.tb01164.x")</f>
        <v>http://dx.doi.org/10.1111/j.1748-7692.2004.tb01164.x</v>
      </c>
      <c r="BG993" t="s">
        <v>74</v>
      </c>
      <c r="BH993" t="s">
        <v>74</v>
      </c>
      <c r="BI993">
        <v>8</v>
      </c>
      <c r="BJ993" t="s">
        <v>4237</v>
      </c>
      <c r="BK993" t="s">
        <v>139</v>
      </c>
      <c r="BL993" t="s">
        <v>4237</v>
      </c>
      <c r="BM993" t="s">
        <v>14034</v>
      </c>
      <c r="BN993" t="s">
        <v>74</v>
      </c>
      <c r="BO993" t="s">
        <v>74</v>
      </c>
      <c r="BP993" t="s">
        <v>74</v>
      </c>
      <c r="BQ993" t="s">
        <v>74</v>
      </c>
      <c r="BR993" t="s">
        <v>98</v>
      </c>
      <c r="BS993" t="s">
        <v>14044</v>
      </c>
      <c r="BT993" t="str">
        <f>HYPERLINK("https%3A%2F%2Fwww.webofscience.com%2Fwos%2Fwoscc%2Ffull-record%2FWOS:000220806900015","View Full Record in Web of Science")</f>
        <v>View Full Record in Web of Science</v>
      </c>
    </row>
    <row r="994" spans="1:72" x14ac:dyDescent="0.15">
      <c r="A994" t="s">
        <v>122</v>
      </c>
      <c r="B994" t="s">
        <v>14045</v>
      </c>
      <c r="C994" t="s">
        <v>74</v>
      </c>
      <c r="D994" t="s">
        <v>74</v>
      </c>
      <c r="E994" t="s">
        <v>74</v>
      </c>
      <c r="F994" t="s">
        <v>14045</v>
      </c>
      <c r="G994" t="s">
        <v>74</v>
      </c>
      <c r="H994" t="s">
        <v>74</v>
      </c>
      <c r="I994" t="s">
        <v>14046</v>
      </c>
      <c r="J994" t="s">
        <v>4846</v>
      </c>
      <c r="K994" t="s">
        <v>74</v>
      </c>
      <c r="L994" t="s">
        <v>74</v>
      </c>
      <c r="M994" t="s">
        <v>79</v>
      </c>
      <c r="N994" t="s">
        <v>126</v>
      </c>
      <c r="O994" t="s">
        <v>74</v>
      </c>
      <c r="P994" t="s">
        <v>74</v>
      </c>
      <c r="Q994" t="s">
        <v>74</v>
      </c>
      <c r="R994" t="s">
        <v>74</v>
      </c>
      <c r="S994" t="s">
        <v>74</v>
      </c>
      <c r="T994" t="s">
        <v>14047</v>
      </c>
      <c r="U994" t="s">
        <v>14048</v>
      </c>
      <c r="V994" t="s">
        <v>14049</v>
      </c>
      <c r="W994" t="s">
        <v>14050</v>
      </c>
      <c r="X994" t="s">
        <v>14051</v>
      </c>
      <c r="Y994" t="s">
        <v>14052</v>
      </c>
      <c r="Z994" t="s">
        <v>14053</v>
      </c>
      <c r="AA994" t="s">
        <v>14054</v>
      </c>
      <c r="AB994" t="s">
        <v>14055</v>
      </c>
      <c r="AC994" t="s">
        <v>74</v>
      </c>
      <c r="AD994" t="s">
        <v>74</v>
      </c>
      <c r="AE994" t="s">
        <v>74</v>
      </c>
      <c r="AF994" t="s">
        <v>74</v>
      </c>
      <c r="AG994">
        <v>89</v>
      </c>
      <c r="AH994">
        <v>49</v>
      </c>
      <c r="AI994">
        <v>51</v>
      </c>
      <c r="AJ994">
        <v>2</v>
      </c>
      <c r="AK994">
        <v>13</v>
      </c>
      <c r="AL994" t="s">
        <v>531</v>
      </c>
      <c r="AM994" t="s">
        <v>532</v>
      </c>
      <c r="AN994" t="s">
        <v>533</v>
      </c>
      <c r="AO994" t="s">
        <v>4854</v>
      </c>
      <c r="AP994" t="s">
        <v>4855</v>
      </c>
      <c r="AQ994" t="s">
        <v>74</v>
      </c>
      <c r="AR994" t="s">
        <v>4856</v>
      </c>
      <c r="AS994" t="s">
        <v>4857</v>
      </c>
      <c r="AT994" t="s">
        <v>13430</v>
      </c>
      <c r="AU994">
        <v>2004</v>
      </c>
      <c r="AV994">
        <v>51</v>
      </c>
      <c r="AW994" t="s">
        <v>2537</v>
      </c>
      <c r="AX994" t="s">
        <v>74</v>
      </c>
      <c r="AY994" t="s">
        <v>74</v>
      </c>
      <c r="AZ994" t="s">
        <v>74</v>
      </c>
      <c r="BA994" t="s">
        <v>74</v>
      </c>
      <c r="BB994">
        <v>153</v>
      </c>
      <c r="BC994">
        <v>170</v>
      </c>
      <c r="BD994" t="s">
        <v>74</v>
      </c>
      <c r="BE994" t="s">
        <v>14056</v>
      </c>
      <c r="BF994" t="str">
        <f>HYPERLINK("http://dx.doi.org/10.1016/j.marmicro.2003.10.003","http://dx.doi.org/10.1016/j.marmicro.2003.10.003")</f>
        <v>http://dx.doi.org/10.1016/j.marmicro.2003.10.003</v>
      </c>
      <c r="BG994" t="s">
        <v>74</v>
      </c>
      <c r="BH994" t="s">
        <v>74</v>
      </c>
      <c r="BI994">
        <v>18</v>
      </c>
      <c r="BJ994" t="s">
        <v>4627</v>
      </c>
      <c r="BK994" t="s">
        <v>139</v>
      </c>
      <c r="BL994" t="s">
        <v>4627</v>
      </c>
      <c r="BM994" t="s">
        <v>14057</v>
      </c>
      <c r="BN994" t="s">
        <v>74</v>
      </c>
      <c r="BO994" t="s">
        <v>74</v>
      </c>
      <c r="BP994" t="s">
        <v>74</v>
      </c>
      <c r="BQ994" t="s">
        <v>74</v>
      </c>
      <c r="BR994" t="s">
        <v>98</v>
      </c>
      <c r="BS994" t="s">
        <v>14058</v>
      </c>
      <c r="BT994" t="str">
        <f>HYPERLINK("https%3A%2F%2Fwww.webofscience.com%2Fwos%2Fwoscc%2Ffull-record%2FWOS:000221218400008","View Full Record in Web of Science")</f>
        <v>View Full Record in Web of Science</v>
      </c>
    </row>
    <row r="995" spans="1:72" x14ac:dyDescent="0.15">
      <c r="A995" t="s">
        <v>122</v>
      </c>
      <c r="B995" t="s">
        <v>14059</v>
      </c>
      <c r="C995" t="s">
        <v>74</v>
      </c>
      <c r="D995" t="s">
        <v>74</v>
      </c>
      <c r="E995" t="s">
        <v>74</v>
      </c>
      <c r="F995" t="s">
        <v>14059</v>
      </c>
      <c r="G995" t="s">
        <v>74</v>
      </c>
      <c r="H995" t="s">
        <v>74</v>
      </c>
      <c r="I995" t="s">
        <v>14060</v>
      </c>
      <c r="J995" t="s">
        <v>1812</v>
      </c>
      <c r="K995" t="s">
        <v>74</v>
      </c>
      <c r="L995" t="s">
        <v>74</v>
      </c>
      <c r="M995" t="s">
        <v>79</v>
      </c>
      <c r="N995" t="s">
        <v>126</v>
      </c>
      <c r="O995" t="s">
        <v>74</v>
      </c>
      <c r="P995" t="s">
        <v>74</v>
      </c>
      <c r="Q995" t="s">
        <v>74</v>
      </c>
      <c r="R995" t="s">
        <v>74</v>
      </c>
      <c r="S995" t="s">
        <v>74</v>
      </c>
      <c r="T995" t="s">
        <v>74</v>
      </c>
      <c r="U995" t="s">
        <v>14061</v>
      </c>
      <c r="V995" t="s">
        <v>14062</v>
      </c>
      <c r="W995" t="s">
        <v>14063</v>
      </c>
      <c r="X995" t="s">
        <v>14064</v>
      </c>
      <c r="Y995" t="s">
        <v>14065</v>
      </c>
      <c r="Z995" t="s">
        <v>74</v>
      </c>
      <c r="AA995" t="s">
        <v>74</v>
      </c>
      <c r="AB995" t="s">
        <v>74</v>
      </c>
      <c r="AC995" t="s">
        <v>74</v>
      </c>
      <c r="AD995" t="s">
        <v>74</v>
      </c>
      <c r="AE995" t="s">
        <v>74</v>
      </c>
      <c r="AF995" t="s">
        <v>74</v>
      </c>
      <c r="AG995">
        <v>97</v>
      </c>
      <c r="AH995">
        <v>57</v>
      </c>
      <c r="AI995">
        <v>64</v>
      </c>
      <c r="AJ995">
        <v>0</v>
      </c>
      <c r="AK995">
        <v>12</v>
      </c>
      <c r="AL995" t="s">
        <v>1509</v>
      </c>
      <c r="AM995" t="s">
        <v>613</v>
      </c>
      <c r="AN995" t="s">
        <v>1821</v>
      </c>
      <c r="AO995" t="s">
        <v>1822</v>
      </c>
      <c r="AP995" t="s">
        <v>1823</v>
      </c>
      <c r="AQ995" t="s">
        <v>74</v>
      </c>
      <c r="AR995" t="s">
        <v>1824</v>
      </c>
      <c r="AS995" t="s">
        <v>1825</v>
      </c>
      <c r="AT995" t="s">
        <v>13430</v>
      </c>
      <c r="AU995">
        <v>2004</v>
      </c>
      <c r="AV995">
        <v>47</v>
      </c>
      <c r="AW995">
        <v>3</v>
      </c>
      <c r="AX995" t="s">
        <v>74</v>
      </c>
      <c r="AY995" t="s">
        <v>74</v>
      </c>
      <c r="AZ995" t="s">
        <v>74</v>
      </c>
      <c r="BA995" t="s">
        <v>74</v>
      </c>
      <c r="BB995">
        <v>271</v>
      </c>
      <c r="BC995">
        <v>283</v>
      </c>
      <c r="BD995" t="s">
        <v>74</v>
      </c>
      <c r="BE995" t="s">
        <v>14066</v>
      </c>
      <c r="BF995" t="str">
        <f>HYPERLINK("http://dx.doi.org/10.1007/s00248-003-1050-7","http://dx.doi.org/10.1007/s00248-003-1050-7")</f>
        <v>http://dx.doi.org/10.1007/s00248-003-1050-7</v>
      </c>
      <c r="BG995" t="s">
        <v>74</v>
      </c>
      <c r="BH995" t="s">
        <v>74</v>
      </c>
      <c r="BI995">
        <v>13</v>
      </c>
      <c r="BJ995" t="s">
        <v>515</v>
      </c>
      <c r="BK995" t="s">
        <v>139</v>
      </c>
      <c r="BL995" t="s">
        <v>516</v>
      </c>
      <c r="BM995" t="s">
        <v>14067</v>
      </c>
      <c r="BN995">
        <v>15054676</v>
      </c>
      <c r="BO995" t="s">
        <v>74</v>
      </c>
      <c r="BP995" t="s">
        <v>74</v>
      </c>
      <c r="BQ995" t="s">
        <v>74</v>
      </c>
      <c r="BR995" t="s">
        <v>98</v>
      </c>
      <c r="BS995" t="s">
        <v>14068</v>
      </c>
      <c r="BT995" t="str">
        <f>HYPERLINK("https%3A%2F%2Fwww.webofscience.com%2Fwos%2Fwoscc%2Ffull-record%2FWOS:000222357300010","View Full Record in Web of Science")</f>
        <v>View Full Record in Web of Science</v>
      </c>
    </row>
    <row r="996" spans="1:72" x14ac:dyDescent="0.15">
      <c r="A996" t="s">
        <v>122</v>
      </c>
      <c r="B996" t="s">
        <v>14069</v>
      </c>
      <c r="C996" t="s">
        <v>74</v>
      </c>
      <c r="D996" t="s">
        <v>74</v>
      </c>
      <c r="E996" t="s">
        <v>74</v>
      </c>
      <c r="F996" t="s">
        <v>14069</v>
      </c>
      <c r="G996" t="s">
        <v>74</v>
      </c>
      <c r="H996" t="s">
        <v>74</v>
      </c>
      <c r="I996" t="s">
        <v>14070</v>
      </c>
      <c r="J996" t="s">
        <v>6553</v>
      </c>
      <c r="K996" t="s">
        <v>74</v>
      </c>
      <c r="L996" t="s">
        <v>74</v>
      </c>
      <c r="M996" t="s">
        <v>79</v>
      </c>
      <c r="N996" t="s">
        <v>126</v>
      </c>
      <c r="O996" t="s">
        <v>74</v>
      </c>
      <c r="P996" t="s">
        <v>74</v>
      </c>
      <c r="Q996" t="s">
        <v>74</v>
      </c>
      <c r="R996" t="s">
        <v>74</v>
      </c>
      <c r="S996" t="s">
        <v>74</v>
      </c>
      <c r="T996" t="s">
        <v>14071</v>
      </c>
      <c r="U996" t="s">
        <v>14072</v>
      </c>
      <c r="V996" t="s">
        <v>14073</v>
      </c>
      <c r="W996" t="s">
        <v>14074</v>
      </c>
      <c r="X996" t="s">
        <v>14075</v>
      </c>
      <c r="Y996" t="s">
        <v>14076</v>
      </c>
      <c r="Z996" t="s">
        <v>14077</v>
      </c>
      <c r="AA996" t="s">
        <v>74</v>
      </c>
      <c r="AB996" t="s">
        <v>74</v>
      </c>
      <c r="AC996" t="s">
        <v>74</v>
      </c>
      <c r="AD996" t="s">
        <v>74</v>
      </c>
      <c r="AE996" t="s">
        <v>74</v>
      </c>
      <c r="AF996" t="s">
        <v>74</v>
      </c>
      <c r="AG996">
        <v>29</v>
      </c>
      <c r="AH996">
        <v>37</v>
      </c>
      <c r="AI996">
        <v>38</v>
      </c>
      <c r="AJ996">
        <v>0</v>
      </c>
      <c r="AK996">
        <v>8</v>
      </c>
      <c r="AL996" t="s">
        <v>3760</v>
      </c>
      <c r="AM996" t="s">
        <v>3761</v>
      </c>
      <c r="AN996" t="s">
        <v>3762</v>
      </c>
      <c r="AO996" t="s">
        <v>6562</v>
      </c>
      <c r="AP996" t="s">
        <v>6563</v>
      </c>
      <c r="AQ996" t="s">
        <v>74</v>
      </c>
      <c r="AR996" t="s">
        <v>6564</v>
      </c>
      <c r="AS996" t="s">
        <v>6565</v>
      </c>
      <c r="AT996" t="s">
        <v>13430</v>
      </c>
      <c r="AU996">
        <v>2004</v>
      </c>
      <c r="AV996">
        <v>31</v>
      </c>
      <c r="AW996">
        <v>1</v>
      </c>
      <c r="AX996" t="s">
        <v>74</v>
      </c>
      <c r="AY996" t="s">
        <v>74</v>
      </c>
      <c r="AZ996" t="s">
        <v>74</v>
      </c>
      <c r="BA996" t="s">
        <v>74</v>
      </c>
      <c r="BB996">
        <v>4</v>
      </c>
      <c r="BC996">
        <v>15</v>
      </c>
      <c r="BD996" t="s">
        <v>74</v>
      </c>
      <c r="BE996" t="s">
        <v>14078</v>
      </c>
      <c r="BF996" t="str">
        <f>HYPERLINK("http://dx.doi.org/10.1016/j.ympev.2003.07.019","http://dx.doi.org/10.1016/j.ympev.2003.07.019")</f>
        <v>http://dx.doi.org/10.1016/j.ympev.2003.07.019</v>
      </c>
      <c r="BG996" t="s">
        <v>74</v>
      </c>
      <c r="BH996" t="s">
        <v>74</v>
      </c>
      <c r="BI996">
        <v>12</v>
      </c>
      <c r="BJ996" t="s">
        <v>1844</v>
      </c>
      <c r="BK996" t="s">
        <v>139</v>
      </c>
      <c r="BL996" t="s">
        <v>1844</v>
      </c>
      <c r="BM996" t="s">
        <v>14079</v>
      </c>
      <c r="BN996">
        <v>15019604</v>
      </c>
      <c r="BO996" t="s">
        <v>329</v>
      </c>
      <c r="BP996" t="s">
        <v>74</v>
      </c>
      <c r="BQ996" t="s">
        <v>74</v>
      </c>
      <c r="BR996" t="s">
        <v>98</v>
      </c>
      <c r="BS996" t="s">
        <v>14080</v>
      </c>
      <c r="BT996" t="str">
        <f>HYPERLINK("https%3A%2F%2Fwww.webofscience.com%2Fwos%2Fwoscc%2Ffull-record%2FWOS:000220536800002","View Full Record in Web of Science")</f>
        <v>View Full Record in Web of Science</v>
      </c>
    </row>
    <row r="997" spans="1:72" x14ac:dyDescent="0.15">
      <c r="A997" t="s">
        <v>122</v>
      </c>
      <c r="B997" t="s">
        <v>14081</v>
      </c>
      <c r="C997" t="s">
        <v>74</v>
      </c>
      <c r="D997" t="s">
        <v>74</v>
      </c>
      <c r="E997" t="s">
        <v>74</v>
      </c>
      <c r="F997" t="s">
        <v>14081</v>
      </c>
      <c r="G997" t="s">
        <v>74</v>
      </c>
      <c r="H997" t="s">
        <v>14082</v>
      </c>
      <c r="I997" t="s">
        <v>14083</v>
      </c>
      <c r="J997" t="s">
        <v>14084</v>
      </c>
      <c r="K997" t="s">
        <v>74</v>
      </c>
      <c r="L997" t="s">
        <v>74</v>
      </c>
      <c r="M997" t="s">
        <v>79</v>
      </c>
      <c r="N997" t="s">
        <v>1129</v>
      </c>
      <c r="O997" t="s">
        <v>14085</v>
      </c>
      <c r="P997" t="s">
        <v>14086</v>
      </c>
      <c r="Q997" t="s">
        <v>14087</v>
      </c>
      <c r="R997" t="s">
        <v>74</v>
      </c>
      <c r="S997" t="s">
        <v>14088</v>
      </c>
      <c r="T997" t="s">
        <v>74</v>
      </c>
      <c r="U997" t="s">
        <v>14089</v>
      </c>
      <c r="V997" t="s">
        <v>14090</v>
      </c>
      <c r="W997" t="s">
        <v>14091</v>
      </c>
      <c r="X997" t="s">
        <v>14092</v>
      </c>
      <c r="Y997" t="s">
        <v>14093</v>
      </c>
      <c r="Z997" t="s">
        <v>14094</v>
      </c>
      <c r="AA997" t="s">
        <v>14095</v>
      </c>
      <c r="AB997" t="s">
        <v>14096</v>
      </c>
      <c r="AC997" t="s">
        <v>74</v>
      </c>
      <c r="AD997" t="s">
        <v>74</v>
      </c>
      <c r="AE997" t="s">
        <v>74</v>
      </c>
      <c r="AF997" t="s">
        <v>74</v>
      </c>
      <c r="AG997">
        <v>17</v>
      </c>
      <c r="AH997">
        <v>17</v>
      </c>
      <c r="AI997">
        <v>17</v>
      </c>
      <c r="AJ997">
        <v>1</v>
      </c>
      <c r="AK997">
        <v>1</v>
      </c>
      <c r="AL997" t="s">
        <v>3797</v>
      </c>
      <c r="AM997" t="s">
        <v>197</v>
      </c>
      <c r="AN997" t="s">
        <v>3798</v>
      </c>
      <c r="AO997" t="s">
        <v>14097</v>
      </c>
      <c r="AP997" t="s">
        <v>14098</v>
      </c>
      <c r="AQ997" t="s">
        <v>74</v>
      </c>
      <c r="AR997" t="s">
        <v>14099</v>
      </c>
      <c r="AS997" t="s">
        <v>14100</v>
      </c>
      <c r="AT997" t="s">
        <v>13430</v>
      </c>
      <c r="AU997">
        <v>2004</v>
      </c>
      <c r="AV997">
        <v>48</v>
      </c>
      <c r="AW997" t="s">
        <v>6508</v>
      </c>
      <c r="AX997" t="s">
        <v>74</v>
      </c>
      <c r="AY997" t="s">
        <v>74</v>
      </c>
      <c r="AZ997" t="s">
        <v>74</v>
      </c>
      <c r="BA997" t="s">
        <v>74</v>
      </c>
      <c r="BB997">
        <v>519</v>
      </c>
      <c r="BC997">
        <v>525</v>
      </c>
      <c r="BD997" t="s">
        <v>74</v>
      </c>
      <c r="BE997" t="s">
        <v>14101</v>
      </c>
      <c r="BF997" t="str">
        <f>HYPERLINK("http://dx.doi.org/10.1016/j.newar.2003.12.031","http://dx.doi.org/10.1016/j.newar.2003.12.031")</f>
        <v>http://dx.doi.org/10.1016/j.newar.2003.12.031</v>
      </c>
      <c r="BG997" t="s">
        <v>74</v>
      </c>
      <c r="BH997" t="s">
        <v>74</v>
      </c>
      <c r="BI997">
        <v>7</v>
      </c>
      <c r="BJ997" t="s">
        <v>491</v>
      </c>
      <c r="BK997" t="s">
        <v>1257</v>
      </c>
      <c r="BL997" t="s">
        <v>491</v>
      </c>
      <c r="BM997" t="s">
        <v>14102</v>
      </c>
      <c r="BN997" t="s">
        <v>74</v>
      </c>
      <c r="BO997" t="s">
        <v>74</v>
      </c>
      <c r="BP997" t="s">
        <v>74</v>
      </c>
      <c r="BQ997" t="s">
        <v>74</v>
      </c>
      <c r="BR997" t="s">
        <v>98</v>
      </c>
      <c r="BS997" t="s">
        <v>14103</v>
      </c>
      <c r="BT997" t="str">
        <f>HYPERLINK("https%3A%2F%2Fwww.webofscience.com%2Fwos%2Fwoscc%2Ffull-record%2FWOS:000221080000038","View Full Record in Web of Science")</f>
        <v>View Full Record in Web of Science</v>
      </c>
    </row>
    <row r="998" spans="1:72" x14ac:dyDescent="0.15">
      <c r="A998" t="s">
        <v>122</v>
      </c>
      <c r="B998" t="s">
        <v>14104</v>
      </c>
      <c r="C998" t="s">
        <v>74</v>
      </c>
      <c r="D998" t="s">
        <v>74</v>
      </c>
      <c r="E998" t="s">
        <v>74</v>
      </c>
      <c r="F998" t="s">
        <v>14104</v>
      </c>
      <c r="G998" t="s">
        <v>74</v>
      </c>
      <c r="H998" t="s">
        <v>74</v>
      </c>
      <c r="I998" t="s">
        <v>14105</v>
      </c>
      <c r="J998" t="s">
        <v>14106</v>
      </c>
      <c r="K998" t="s">
        <v>74</v>
      </c>
      <c r="L998" t="s">
        <v>74</v>
      </c>
      <c r="M998" t="s">
        <v>79</v>
      </c>
      <c r="N998" t="s">
        <v>126</v>
      </c>
      <c r="O998" t="s">
        <v>74</v>
      </c>
      <c r="P998" t="s">
        <v>74</v>
      </c>
      <c r="Q998" t="s">
        <v>74</v>
      </c>
      <c r="R998" t="s">
        <v>74</v>
      </c>
      <c r="S998" t="s">
        <v>74</v>
      </c>
      <c r="T998" t="s">
        <v>14107</v>
      </c>
      <c r="U998" t="s">
        <v>14108</v>
      </c>
      <c r="V998" t="s">
        <v>14109</v>
      </c>
      <c r="W998" t="s">
        <v>14110</v>
      </c>
      <c r="X998" t="s">
        <v>14111</v>
      </c>
      <c r="Y998" t="s">
        <v>502</v>
      </c>
      <c r="Z998" t="s">
        <v>14112</v>
      </c>
      <c r="AA998" t="s">
        <v>74</v>
      </c>
      <c r="AB998" t="s">
        <v>14113</v>
      </c>
      <c r="AC998" t="s">
        <v>74</v>
      </c>
      <c r="AD998" t="s">
        <v>74</v>
      </c>
      <c r="AE998" t="s">
        <v>74</v>
      </c>
      <c r="AF998" t="s">
        <v>74</v>
      </c>
      <c r="AG998">
        <v>44</v>
      </c>
      <c r="AH998">
        <v>17</v>
      </c>
      <c r="AI998">
        <v>32</v>
      </c>
      <c r="AJ998">
        <v>0</v>
      </c>
      <c r="AK998">
        <v>3</v>
      </c>
      <c r="AL998" t="s">
        <v>1418</v>
      </c>
      <c r="AM998" t="s">
        <v>1419</v>
      </c>
      <c r="AN998" t="s">
        <v>1420</v>
      </c>
      <c r="AO998" t="s">
        <v>14114</v>
      </c>
      <c r="AP998" t="s">
        <v>14115</v>
      </c>
      <c r="AQ998" t="s">
        <v>74</v>
      </c>
      <c r="AR998" t="s">
        <v>14116</v>
      </c>
      <c r="AS998" t="s">
        <v>14117</v>
      </c>
      <c r="AT998" t="s">
        <v>13430</v>
      </c>
      <c r="AU998">
        <v>2004</v>
      </c>
      <c r="AV998">
        <v>53</v>
      </c>
      <c r="AW998">
        <v>2</v>
      </c>
      <c r="AX998" t="s">
        <v>74</v>
      </c>
      <c r="AY998" t="s">
        <v>74</v>
      </c>
      <c r="AZ998" t="s">
        <v>74</v>
      </c>
      <c r="BA998" t="s">
        <v>74</v>
      </c>
      <c r="BB998">
        <v>209</v>
      </c>
      <c r="BC998">
        <v>219</v>
      </c>
      <c r="BD998" t="s">
        <v>74</v>
      </c>
      <c r="BE998" t="s">
        <v>14118</v>
      </c>
      <c r="BF998" t="str">
        <f>HYPERLINK("http://dx.doi.org/10.1111/j.0032-0862.2004.00980.x","http://dx.doi.org/10.1111/j.0032-0862.2004.00980.x")</f>
        <v>http://dx.doi.org/10.1111/j.0032-0862.2004.00980.x</v>
      </c>
      <c r="BG998" t="s">
        <v>74</v>
      </c>
      <c r="BH998" t="s">
        <v>74</v>
      </c>
      <c r="BI998">
        <v>11</v>
      </c>
      <c r="BJ998" t="s">
        <v>14119</v>
      </c>
      <c r="BK998" t="s">
        <v>139</v>
      </c>
      <c r="BL998" t="s">
        <v>14120</v>
      </c>
      <c r="BM998" t="s">
        <v>14121</v>
      </c>
      <c r="BN998" t="s">
        <v>74</v>
      </c>
      <c r="BO998" t="s">
        <v>273</v>
      </c>
      <c r="BP998" t="s">
        <v>74</v>
      </c>
      <c r="BQ998" t="s">
        <v>74</v>
      </c>
      <c r="BR998" t="s">
        <v>98</v>
      </c>
      <c r="BS998" t="s">
        <v>14122</v>
      </c>
      <c r="BT998" t="str">
        <f>HYPERLINK("https%3A%2F%2Fwww.webofscience.com%2Fwos%2Fwoscc%2Ffull-record%2FWOS:000221095300011","View Full Record in Web of Science")</f>
        <v>View Full Record in Web of Science</v>
      </c>
    </row>
    <row r="999" spans="1:72" x14ac:dyDescent="0.15">
      <c r="A999" t="s">
        <v>122</v>
      </c>
      <c r="B999" t="s">
        <v>14123</v>
      </c>
      <c r="C999" t="s">
        <v>74</v>
      </c>
      <c r="D999" t="s">
        <v>74</v>
      </c>
      <c r="E999" t="s">
        <v>74</v>
      </c>
      <c r="F999" t="s">
        <v>14123</v>
      </c>
      <c r="G999" t="s">
        <v>74</v>
      </c>
      <c r="H999" t="s">
        <v>74</v>
      </c>
      <c r="I999" t="s">
        <v>14124</v>
      </c>
      <c r="J999" t="s">
        <v>14106</v>
      </c>
      <c r="K999" t="s">
        <v>74</v>
      </c>
      <c r="L999" t="s">
        <v>74</v>
      </c>
      <c r="M999" t="s">
        <v>79</v>
      </c>
      <c r="N999" t="s">
        <v>126</v>
      </c>
      <c r="O999" t="s">
        <v>74</v>
      </c>
      <c r="P999" t="s">
        <v>74</v>
      </c>
      <c r="Q999" t="s">
        <v>74</v>
      </c>
      <c r="R999" t="s">
        <v>74</v>
      </c>
      <c r="S999" t="s">
        <v>74</v>
      </c>
      <c r="T999" t="s">
        <v>14125</v>
      </c>
      <c r="U999" t="s">
        <v>14126</v>
      </c>
      <c r="V999" t="s">
        <v>14127</v>
      </c>
      <c r="W999" t="s">
        <v>14128</v>
      </c>
      <c r="X999" t="s">
        <v>14129</v>
      </c>
      <c r="Y999" t="s">
        <v>14130</v>
      </c>
      <c r="Z999" t="s">
        <v>14112</v>
      </c>
      <c r="AA999" t="s">
        <v>14131</v>
      </c>
      <c r="AB999" t="s">
        <v>14132</v>
      </c>
      <c r="AC999" t="s">
        <v>74</v>
      </c>
      <c r="AD999" t="s">
        <v>74</v>
      </c>
      <c r="AE999" t="s">
        <v>74</v>
      </c>
      <c r="AF999" t="s">
        <v>74</v>
      </c>
      <c r="AG999">
        <v>32</v>
      </c>
      <c r="AH999">
        <v>21</v>
      </c>
      <c r="AI999">
        <v>24</v>
      </c>
      <c r="AJ999">
        <v>0</v>
      </c>
      <c r="AK999">
        <v>8</v>
      </c>
      <c r="AL999" t="s">
        <v>1418</v>
      </c>
      <c r="AM999" t="s">
        <v>1419</v>
      </c>
      <c r="AN999" t="s">
        <v>1420</v>
      </c>
      <c r="AO999" t="s">
        <v>14114</v>
      </c>
      <c r="AP999" t="s">
        <v>14115</v>
      </c>
      <c r="AQ999" t="s">
        <v>74</v>
      </c>
      <c r="AR999" t="s">
        <v>14116</v>
      </c>
      <c r="AS999" t="s">
        <v>14117</v>
      </c>
      <c r="AT999" t="s">
        <v>13430</v>
      </c>
      <c r="AU999">
        <v>2004</v>
      </c>
      <c r="AV999">
        <v>53</v>
      </c>
      <c r="AW999">
        <v>2</v>
      </c>
      <c r="AX999" t="s">
        <v>74</v>
      </c>
      <c r="AY999" t="s">
        <v>74</v>
      </c>
      <c r="AZ999" t="s">
        <v>74</v>
      </c>
      <c r="BA999" t="s">
        <v>74</v>
      </c>
      <c r="BB999">
        <v>220</v>
      </c>
      <c r="BC999">
        <v>230</v>
      </c>
      <c r="BD999" t="s">
        <v>74</v>
      </c>
      <c r="BE999" t="s">
        <v>14133</v>
      </c>
      <c r="BF999" t="str">
        <f>HYPERLINK("http://dx.doi.org/10.1111/j.0032-0862.2004.00999.x","http://dx.doi.org/10.1111/j.0032-0862.2004.00999.x")</f>
        <v>http://dx.doi.org/10.1111/j.0032-0862.2004.00999.x</v>
      </c>
      <c r="BG999" t="s">
        <v>74</v>
      </c>
      <c r="BH999" t="s">
        <v>74</v>
      </c>
      <c r="BI999">
        <v>11</v>
      </c>
      <c r="BJ999" t="s">
        <v>14119</v>
      </c>
      <c r="BK999" t="s">
        <v>139</v>
      </c>
      <c r="BL999" t="s">
        <v>14120</v>
      </c>
      <c r="BM999" t="s">
        <v>14121</v>
      </c>
      <c r="BN999" t="s">
        <v>74</v>
      </c>
      <c r="BO999" t="s">
        <v>273</v>
      </c>
      <c r="BP999" t="s">
        <v>74</v>
      </c>
      <c r="BQ999" t="s">
        <v>74</v>
      </c>
      <c r="BR999" t="s">
        <v>98</v>
      </c>
      <c r="BS999" t="s">
        <v>14134</v>
      </c>
      <c r="BT999" t="str">
        <f>HYPERLINK("https%3A%2F%2Fwww.webofscience.com%2Fwos%2Fwoscc%2Ffull-record%2FWOS:000221095300012","View Full Record in Web of Science")</f>
        <v>View Full Record in Web of Science</v>
      </c>
    </row>
    <row r="1000" spans="1:72" x14ac:dyDescent="0.15">
      <c r="A1000" t="s">
        <v>122</v>
      </c>
      <c r="B1000" t="s">
        <v>14135</v>
      </c>
      <c r="C1000" t="s">
        <v>74</v>
      </c>
      <c r="D1000" t="s">
        <v>74</v>
      </c>
      <c r="E1000" t="s">
        <v>74</v>
      </c>
      <c r="F1000" t="s">
        <v>14135</v>
      </c>
      <c r="G1000" t="s">
        <v>74</v>
      </c>
      <c r="H1000" t="s">
        <v>74</v>
      </c>
      <c r="I1000" t="s">
        <v>14136</v>
      </c>
      <c r="J1000" t="s">
        <v>14137</v>
      </c>
      <c r="K1000" t="s">
        <v>74</v>
      </c>
      <c r="L1000" t="s">
        <v>74</v>
      </c>
      <c r="M1000" t="s">
        <v>79</v>
      </c>
      <c r="N1000" t="s">
        <v>126</v>
      </c>
      <c r="O1000" t="s">
        <v>74</v>
      </c>
      <c r="P1000" t="s">
        <v>74</v>
      </c>
      <c r="Q1000" t="s">
        <v>74</v>
      </c>
      <c r="R1000" t="s">
        <v>74</v>
      </c>
      <c r="S1000" t="s">
        <v>74</v>
      </c>
      <c r="T1000" t="s">
        <v>74</v>
      </c>
      <c r="U1000" t="s">
        <v>14138</v>
      </c>
      <c r="V1000" t="s">
        <v>14139</v>
      </c>
      <c r="W1000" t="s">
        <v>14140</v>
      </c>
      <c r="X1000" t="s">
        <v>14141</v>
      </c>
      <c r="Y1000" t="s">
        <v>14142</v>
      </c>
      <c r="Z1000" t="s">
        <v>14143</v>
      </c>
      <c r="AA1000" t="s">
        <v>74</v>
      </c>
      <c r="AB1000" t="s">
        <v>74</v>
      </c>
      <c r="AC1000" t="s">
        <v>74</v>
      </c>
      <c r="AD1000" t="s">
        <v>74</v>
      </c>
      <c r="AE1000" t="s">
        <v>74</v>
      </c>
      <c r="AF1000" t="s">
        <v>74</v>
      </c>
      <c r="AG1000">
        <v>50</v>
      </c>
      <c r="AH1000">
        <v>386</v>
      </c>
      <c r="AI1000">
        <v>443</v>
      </c>
      <c r="AJ1000">
        <v>3</v>
      </c>
      <c r="AK1000">
        <v>108</v>
      </c>
      <c r="AL1000" t="s">
        <v>14144</v>
      </c>
      <c r="AM1000" t="s">
        <v>13845</v>
      </c>
      <c r="AN1000" t="s">
        <v>14145</v>
      </c>
      <c r="AO1000" t="s">
        <v>14146</v>
      </c>
      <c r="AP1000" t="s">
        <v>14147</v>
      </c>
      <c r="AQ1000" t="s">
        <v>74</v>
      </c>
      <c r="AR1000" t="s">
        <v>14148</v>
      </c>
      <c r="AS1000" t="s">
        <v>14149</v>
      </c>
      <c r="AT1000" t="s">
        <v>13430</v>
      </c>
      <c r="AU1000">
        <v>2004</v>
      </c>
      <c r="AV1000">
        <v>134</v>
      </c>
      <c r="AW1000">
        <v>4</v>
      </c>
      <c r="AX1000" t="s">
        <v>74</v>
      </c>
      <c r="AY1000" t="s">
        <v>74</v>
      </c>
      <c r="AZ1000" t="s">
        <v>74</v>
      </c>
      <c r="BA1000" t="s">
        <v>74</v>
      </c>
      <c r="BB1000">
        <v>1460</v>
      </c>
      <c r="BC1000">
        <v>1470</v>
      </c>
      <c r="BD1000" t="s">
        <v>74</v>
      </c>
      <c r="BE1000" t="s">
        <v>14150</v>
      </c>
      <c r="BF1000" t="str">
        <f>HYPERLINK("http://dx.doi.org/10.1104/pp.103.038323","http://dx.doi.org/10.1104/pp.103.038323")</f>
        <v>http://dx.doi.org/10.1104/pp.103.038323</v>
      </c>
      <c r="BG1000" t="s">
        <v>74</v>
      </c>
      <c r="BH1000" t="s">
        <v>74</v>
      </c>
      <c r="BI1000">
        <v>11</v>
      </c>
      <c r="BJ1000" t="s">
        <v>912</v>
      </c>
      <c r="BK1000" t="s">
        <v>139</v>
      </c>
      <c r="BL1000" t="s">
        <v>912</v>
      </c>
      <c r="BM1000" t="s">
        <v>14151</v>
      </c>
      <c r="BN1000">
        <v>15084731</v>
      </c>
      <c r="BO1000" t="s">
        <v>207</v>
      </c>
      <c r="BP1000" t="s">
        <v>74</v>
      </c>
      <c r="BQ1000" t="s">
        <v>74</v>
      </c>
      <c r="BR1000" t="s">
        <v>98</v>
      </c>
      <c r="BS1000" t="s">
        <v>14152</v>
      </c>
      <c r="BT1000" t="str">
        <f>HYPERLINK("https%3A%2F%2Fwww.webofscience.com%2Fwos%2Fwoscc%2Ffull-record%2FWOS:000220860400022","View Full Record in Web of Science")</f>
        <v>View Full Record in Web of Science</v>
      </c>
    </row>
    <row r="1001" spans="1:72" x14ac:dyDescent="0.15">
      <c r="A1001" t="s">
        <v>122</v>
      </c>
      <c r="B1001" t="s">
        <v>14153</v>
      </c>
      <c r="C1001" t="s">
        <v>74</v>
      </c>
      <c r="D1001" t="s">
        <v>74</v>
      </c>
      <c r="E1001" t="s">
        <v>74</v>
      </c>
      <c r="F1001" t="s">
        <v>14153</v>
      </c>
      <c r="G1001" t="s">
        <v>74</v>
      </c>
      <c r="H1001" t="s">
        <v>74</v>
      </c>
      <c r="I1001" t="s">
        <v>14154</v>
      </c>
      <c r="J1001" t="s">
        <v>1912</v>
      </c>
      <c r="K1001" t="s">
        <v>74</v>
      </c>
      <c r="L1001" t="s">
        <v>74</v>
      </c>
      <c r="M1001" t="s">
        <v>79</v>
      </c>
      <c r="N1001" t="s">
        <v>126</v>
      </c>
      <c r="O1001" t="s">
        <v>74</v>
      </c>
      <c r="P1001" t="s">
        <v>74</v>
      </c>
      <c r="Q1001" t="s">
        <v>74</v>
      </c>
      <c r="R1001" t="s">
        <v>74</v>
      </c>
      <c r="S1001" t="s">
        <v>74</v>
      </c>
      <c r="T1001" t="s">
        <v>74</v>
      </c>
      <c r="U1001" t="s">
        <v>14155</v>
      </c>
      <c r="V1001" t="s">
        <v>14156</v>
      </c>
      <c r="W1001" t="s">
        <v>11265</v>
      </c>
      <c r="X1001" t="s">
        <v>7678</v>
      </c>
      <c r="Y1001" t="s">
        <v>14157</v>
      </c>
      <c r="Z1001" t="s">
        <v>14158</v>
      </c>
      <c r="AA1001" t="s">
        <v>74</v>
      </c>
      <c r="AB1001" t="s">
        <v>799</v>
      </c>
      <c r="AC1001" t="s">
        <v>74</v>
      </c>
      <c r="AD1001" t="s">
        <v>74</v>
      </c>
      <c r="AE1001" t="s">
        <v>74</v>
      </c>
      <c r="AF1001" t="s">
        <v>74</v>
      </c>
      <c r="AG1001">
        <v>15</v>
      </c>
      <c r="AH1001">
        <v>6</v>
      </c>
      <c r="AI1001">
        <v>6</v>
      </c>
      <c r="AJ1001">
        <v>0</v>
      </c>
      <c r="AK1001">
        <v>9</v>
      </c>
      <c r="AL1001" t="s">
        <v>11354</v>
      </c>
      <c r="AM1001" t="s">
        <v>613</v>
      </c>
      <c r="AN1001" t="s">
        <v>11355</v>
      </c>
      <c r="AO1001" t="s">
        <v>1921</v>
      </c>
      <c r="AP1001" t="s">
        <v>74</v>
      </c>
      <c r="AQ1001" t="s">
        <v>74</v>
      </c>
      <c r="AR1001" t="s">
        <v>1922</v>
      </c>
      <c r="AS1001" t="s">
        <v>1923</v>
      </c>
      <c r="AT1001" t="s">
        <v>13430</v>
      </c>
      <c r="AU1001">
        <v>2004</v>
      </c>
      <c r="AV1001">
        <v>27</v>
      </c>
      <c r="AW1001">
        <v>5</v>
      </c>
      <c r="AX1001" t="s">
        <v>74</v>
      </c>
      <c r="AY1001" t="s">
        <v>74</v>
      </c>
      <c r="AZ1001" t="s">
        <v>74</v>
      </c>
      <c r="BA1001" t="s">
        <v>74</v>
      </c>
      <c r="BB1001">
        <v>257</v>
      </c>
      <c r="BC1001">
        <v>265</v>
      </c>
      <c r="BD1001" t="s">
        <v>74</v>
      </c>
      <c r="BE1001" t="s">
        <v>14159</v>
      </c>
      <c r="BF1001" t="str">
        <f>HYPERLINK("http://dx.doi.org/10.1007/s00300-004-0595-3","http://dx.doi.org/10.1007/s00300-004-0595-3")</f>
        <v>http://dx.doi.org/10.1007/s00300-004-0595-3</v>
      </c>
      <c r="BG1001" t="s">
        <v>74</v>
      </c>
      <c r="BH1001" t="s">
        <v>74</v>
      </c>
      <c r="BI1001">
        <v>9</v>
      </c>
      <c r="BJ1001" t="s">
        <v>1491</v>
      </c>
      <c r="BK1001" t="s">
        <v>139</v>
      </c>
      <c r="BL1001" t="s">
        <v>1337</v>
      </c>
      <c r="BM1001" t="s">
        <v>14160</v>
      </c>
      <c r="BN1001" t="s">
        <v>74</v>
      </c>
      <c r="BO1001" t="s">
        <v>74</v>
      </c>
      <c r="BP1001" t="s">
        <v>74</v>
      </c>
      <c r="BQ1001" t="s">
        <v>74</v>
      </c>
      <c r="BR1001" t="s">
        <v>98</v>
      </c>
      <c r="BS1001" t="s">
        <v>14161</v>
      </c>
      <c r="BT1001" t="str">
        <f>HYPERLINK("https%3A%2F%2Fwww.webofscience.com%2Fwos%2Fwoscc%2Ffull-record%2FWOS:000220189000001","View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2024-07-28T15:26:29Z</dcterms:created>
  <dcterms:modified xsi:type="dcterms:W3CDTF">2024-07-28T15:26:29Z</dcterms:modified>
</cp:coreProperties>
</file>